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СУ" sheetId="1" r:id="rId1"/>
  </sheets>
  <definedNames>
    <definedName name="Excel_BuiltIn_Print_Area" localSheetId="0">'МСУ'!$B$1:$AG$153</definedName>
    <definedName name="Excel_BuiltIn_Print_Titles" localSheetId="0">'МСУ'!$5:$7</definedName>
    <definedName name="_xlnm.Print_Titles" localSheetId="0">'МСУ'!$5:$7</definedName>
    <definedName name="_xlnm.Print_Area" localSheetId="0">'МСУ'!$B$1:$AG$153</definedName>
  </definedNames>
  <calcPr fullCalcOnLoad="1"/>
</workbook>
</file>

<file path=xl/sharedStrings.xml><?xml version="1.0" encoding="utf-8"?>
<sst xmlns="http://schemas.openxmlformats.org/spreadsheetml/2006/main" count="1236" uniqueCount="850">
  <si>
    <t>17</t>
  </si>
  <si>
    <t>Единица измерения: тыс.руб. (с точностью до первого десятичного знака)</t>
  </si>
  <si>
    <t>Наименование полномочия, расходного обязательства</t>
  </si>
  <si>
    <t>Код строки</t>
  </si>
  <si>
    <t>Правовое основание финансового обеспечения и расходования средств (нормативные правовые акты, договоры, соглашения)</t>
  </si>
  <si>
    <t>Код расхода по БК</t>
  </si>
  <si>
    <t>Объемы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</si>
  <si>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</si>
  <si>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 </t>
  </si>
  <si>
    <t>Методика расчета оценки</t>
  </si>
  <si>
    <t>ID_Form = 1000368</t>
  </si>
  <si>
    <t>Российской Федерации (Законы, Указы, Постановления Правительства, Гос.программы)</t>
  </si>
  <si>
    <t>Калужской области</t>
  </si>
  <si>
    <t>муниципального образования "Город Обнинск"</t>
  </si>
  <si>
    <r>
      <rPr>
        <sz val="10"/>
        <color indexed="8"/>
        <rFont val="Times New Roman"/>
        <family val="1"/>
      </rPr>
      <t xml:space="preserve">Отчетный </t>
    </r>
    <r>
      <rPr>
        <b/>
        <sz val="10"/>
        <color indexed="8"/>
        <rFont val="Times New Roman"/>
        <family val="1"/>
      </rPr>
      <t xml:space="preserve">2023 </t>
    </r>
    <r>
      <rPr>
        <sz val="10"/>
        <color indexed="8"/>
        <rFont val="Times New Roman"/>
        <family val="1"/>
      </rPr>
      <t>г.</t>
    </r>
  </si>
  <si>
    <r>
      <rPr>
        <sz val="10"/>
        <color indexed="8"/>
        <rFont val="Times New Roman"/>
        <family val="1"/>
      </rPr>
      <t xml:space="preserve">Текущий        </t>
    </r>
    <r>
      <rPr>
        <b/>
        <sz val="10"/>
        <color indexed="8"/>
        <rFont val="Times New Roman"/>
        <family val="1"/>
      </rPr>
      <t xml:space="preserve">2024 г.         (на 1.04.2023 по уточненной росписи)                        </t>
    </r>
  </si>
  <si>
    <r>
      <rPr>
        <sz val="10"/>
        <color indexed="8"/>
        <rFont val="Times New Roman"/>
        <family val="1"/>
      </rPr>
      <t xml:space="preserve">Очередной   </t>
    </r>
    <r>
      <rPr>
        <b/>
        <sz val="10"/>
        <color indexed="8"/>
        <rFont val="Times New Roman"/>
        <family val="1"/>
      </rPr>
      <t>2025 г.</t>
    </r>
  </si>
  <si>
    <t>плановый период</t>
  </si>
  <si>
    <t>Всего</t>
  </si>
  <si>
    <t>в т.ч. без учета расходов на осуществление капитальных вложений в объекты муниципальной собственности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</si>
  <si>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</si>
  <si>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</si>
  <si>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</si>
  <si>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</si>
  <si>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Рз/Прз</t>
  </si>
  <si>
    <t>план</t>
  </si>
  <si>
    <t>факт</t>
  </si>
  <si>
    <t>2026 г.</t>
  </si>
  <si>
    <t>2027 г.</t>
  </si>
  <si>
    <t>2024 г.</t>
  </si>
  <si>
    <t>2025 г.</t>
  </si>
  <si>
    <t>2.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</si>
  <si>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(соглашений), всего из них:</t>
  </si>
  <si>
    <t>2500</t>
  </si>
  <si>
    <t>TABLENAME=UTBL_OBJ1000368|FIELDS=D_KA1,D_KA2|VALUES=3000059,3000601</t>
  </si>
  <si>
    <t>TABLENAME=UTBL_OBJ1000368|FIELDS=D_KA1,D_KA2|VALUES=3000059,3000615</t>
  </si>
  <si>
    <t>TABLENAME=UTBL_OBJ1000368|FIELDS=D_KA1,D_KA2|VALUES=3000059,3000616</t>
  </si>
  <si>
    <t>TABLENAME=UTBL_OBJ1000368|FIELDS=D_KA1,D_KA2|VALUES=3000059,3000617</t>
  </si>
  <si>
    <t>TABLENAME=UTBL_OBJ1000368|FIELDS=D_KA1,D_KA2|VALUES=3000059,3000618</t>
  </si>
  <si>
    <t>TABLENAME=UTBL_OBJ1000368|FIELDS=D_KA1,D_KA2|VALUES=3000059,3000619</t>
  </si>
  <si>
    <t>TABLENAME=UTBL_OBJ1000368|FIELDS=D_KA1,D_KA2|VALUES=3000059,3000620</t>
  </si>
  <si>
    <t>TABLENAME=UTBL_OBJ1000368|FIELDS=D_KA1,D_KA2|VALUES=3000059,3000622</t>
  </si>
  <si>
    <t>TABLENAME=UTBL_OBJ1000368|FIELDS=D_KA1,D_KA2|VALUES=3000059,3000623</t>
  </si>
  <si>
    <t>TABLENAME=UTBL_OBJ1000368|FIELDS=D_KA1,D_KA2|VALUES=3000059,3000624</t>
  </si>
  <si>
    <t>TABLENAME=UTBL_OBJ1000368|FIELDS=D_KA1,D_KA2|VALUES=3000059,3000608</t>
  </si>
  <si>
    <t>TABLENAME=UTBL_OBJ1000368|FIELDS=D_KA1,D_KA2|VALUES=3000059,3000609</t>
  </si>
  <si>
    <t>TABLENAME=UTBL_OBJ1000368|FIELDS=D_KA1,D_KA2|VALUES=3000059,3000610</t>
  </si>
  <si>
    <t>TABLENAME=UTBL_OBJ1000368|FIELDS=D_KA1,D_KA2|VALUES=3000059,3000611</t>
  </si>
  <si>
    <t>TABLENAME=UTBL_OBJ1000368|FIELDS=D_KA1,D_KA2|VALUES=3000059,3000613</t>
  </si>
  <si>
    <t>TABLENAME=UTBL_OBJ1000368|FIELDS=D_KA1,D_KA2|VALUES=3000059,3000614</t>
  </si>
  <si>
    <t>TABLENAME=UTBL_OBJ1000368|FIELDS=D_KA1,D_KA2|VALUES=3000059,3000604</t>
  </si>
  <si>
    <t>2.1.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</si>
  <si>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вопросов местного значения городского округа, всего</t>
  </si>
  <si>
    <t>2501</t>
  </si>
  <si>
    <t>TABLENAME=UTBL_OBJ1000368|FIELDS=D_KA1,D_KA2|VALUES=3000311,3000601</t>
  </si>
  <si>
    <t>TABLENAME=UTBL_OBJ1000368|FIELDS=D_KA1,D_KA2|VALUES=3000311,3000615</t>
  </si>
  <si>
    <t>TABLENAME=UTBL_OBJ1000368|FIELDS=D_KA1,D_KA2|VALUES=3000311,3000616</t>
  </si>
  <si>
    <t>TABLENAME=UTBL_OBJ1000368|FIELDS=D_KA1,D_KA2|VALUES=3000311,3000617</t>
  </si>
  <si>
    <t>TABLENAME=UTBL_OBJ1000368|FIELDS=D_KA1,D_KA2|VALUES=3000311,3000618</t>
  </si>
  <si>
    <t>TABLENAME=UTBL_OBJ1000368|FIELDS=D_KA1,D_KA2|VALUES=3000311,3000619</t>
  </si>
  <si>
    <t>TABLENAME=UTBL_OBJ1000368|FIELDS=D_KA1,D_KA2|VALUES=3000311,3000620</t>
  </si>
  <si>
    <t>TABLENAME=UTBL_OBJ1000368|FIELDS=D_KA1,D_KA2|VALUES=3000311,3000622</t>
  </si>
  <si>
    <t>TABLENAME=UTBL_OBJ1000368|FIELDS=D_KA1,D_KA2|VALUES=3000311,3000623</t>
  </si>
  <si>
    <t>TABLENAME=UTBL_OBJ1000368|FIELDS=D_KA1,D_KA2|VALUES=3000311,3000624</t>
  </si>
  <si>
    <t>TABLENAME=UTBL_OBJ1000368|FIELDS=D_KA1,D_KA2|VALUES=3000311,3000608</t>
  </si>
  <si>
    <t>TABLENAME=UTBL_OBJ1000368|FIELDS=D_KA1,D_KA2|VALUES=3000311,3000609</t>
  </si>
  <si>
    <t>TABLENAME=UTBL_OBJ1000368|FIELDS=D_KA1,D_KA2|VALUES=3000311,3000610</t>
  </si>
  <si>
    <t>TABLENAME=UTBL_OBJ1000368|FIELDS=D_KA1,D_KA2|VALUES=3000311,3000611</t>
  </si>
  <si>
    <t>TABLENAME=UTBL_OBJ1000368|FIELDS=D_KA1,D_KA2|VALUES=3000311,3000613</t>
  </si>
  <si>
    <t>TABLENAME=UTBL_OBJ1000368|FIELDS=D_KA1,D_KA2|VALUES=3000311,3000614</t>
  </si>
  <si>
    <t>TABLENAME=UTBL_OBJ1000368|FIELDS=D_KA1,D_KA2|VALUES=3000311,3000604</t>
  </si>
  <si>
    <t>2.1.3.</t>
  </si>
  <si>
    <t>владение, пользование и распоряжение имуществом, находящимся в муниципальной собственности городского округа</t>
  </si>
  <si>
    <t>ФЗ от 06.10.2003 №131-ФЗ (ред. от 14.02.2024) "Об общих принципах организации местного самоуправления в Российской Федерации"</t>
  </si>
  <si>
    <t xml:space="preserve">ст.16, ч.1, п. 3 </t>
  </si>
  <si>
    <t>06.10.2003, не установлен</t>
  </si>
  <si>
    <t xml:space="preserve">Постановление Администрации г. Обнинска от 24.10.2014 N 1997-п (ред. от 16.08.2023) "Об утверждении муниципальной программы "Обеспечение функционирования системы управления в муниципальном образовании "Город Обнинск" </t>
  </si>
  <si>
    <t>Раздел 5</t>
  </si>
  <si>
    <t>06.11.2014-31.12.2024</t>
  </si>
  <si>
    <t>0113</t>
  </si>
  <si>
    <t>Плановый</t>
  </si>
  <si>
    <t>TABLENAME=UTBL_OBJ1000368|FIELDS=D_KA1,D_KA2|VALUES=3000331,3000601</t>
  </si>
  <si>
    <t>TABLENAME=UTBL_OBJ1000368|FIELDS=D_KA1,D_KA2|VALUES=3000331,3000615</t>
  </si>
  <si>
    <t>TABLENAME=UTBL_OBJ1000368|FIELDS=D_KA1,D_KA2|VALUES=3000331,3000616</t>
  </si>
  <si>
    <t>TABLENAME=UTBL_OBJ1000368|FIELDS=D_KA1,D_KA2|VALUES=3000331,3000617</t>
  </si>
  <si>
    <t>TABLENAME=UTBL_OBJ1000368|FIELDS=D_KA1,D_KA2|VALUES=3000331,3000618</t>
  </si>
  <si>
    <t>TABLENAME=UTBL_OBJ1000368|FIELDS=D_KA1,D_KA2|VALUES=3000331,3000619</t>
  </si>
  <si>
    <t>TABLENAME=UTBL_OBJ1000368|FIELDS=D_KA1,D_KA2|VALUES=3000331,3000620</t>
  </si>
  <si>
    <t>TABLENAME=UTBL_OBJ1000368|FIELDS=D_KA1,D_KA2|VALUES=3000331,3000622</t>
  </si>
  <si>
    <t>TABLENAME=UTBL_OBJ1000368|FIELDS=D_KA1,D_KA2|VALUES=3000331,3000623</t>
  </si>
  <si>
    <t>TABLENAME=UTBL_OBJ1000368|FIELDS=D_KA1,D_KA2|VALUES=3000331,3000624</t>
  </si>
  <si>
    <t>TABLENAME=UTBL_OBJ1000368|FIELDS=D_KA1,D_KA2|VALUES=3000331,3000608</t>
  </si>
  <si>
    <t>TABLENAME=UTBL_OBJ1000368|FIELDS=D_KA1,D_KA2|VALUES=3000331,3000609</t>
  </si>
  <si>
    <t>TABLENAME=UTBL_OBJ1000368|FIELDS=D_KA1,D_KA2|VALUES=3000331,3000610</t>
  </si>
  <si>
    <t>TABLENAME=UTBL_OBJ1000368|FIELDS=D_KA1,D_KA2|VALUES=3000331,3000611</t>
  </si>
  <si>
    <t>TABLENAME=UTBL_OBJ1000368|FIELDS=D_KA1,D_KA2|VALUES=3000331,3000613</t>
  </si>
  <si>
    <t>TABLENAME=UTBL_OBJ1000368|FIELDS=D_KA1,D_KA2|VALUES=3000331,3000614</t>
  </si>
  <si>
    <t>TABLENAME=UTBL_OBJ1000368|FIELDS=D_KA1,D_KA2|VALUES=3000331,3000604</t>
  </si>
  <si>
    <t>2.1.4.</t>
  </si>
  <si>
    <t>организация в границах городского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</si>
  <si>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ст.16, ч.1, п. 4 </t>
  </si>
  <si>
    <t>Постановление Администрации г. Обнинска от 28.12.2022 N 3033-п "Об утверждении муниципальной программы "Развитие и модернизация объектов инженерной инфраструктуры города Обнинска"</t>
  </si>
  <si>
    <t>29.12.2022-31.12.2029</t>
  </si>
  <si>
    <t xml:space="preserve">0502  </t>
  </si>
  <si>
    <t>TABLENAME=UTBL_OBJ1000368|FIELDS=D_KA1,D_KA2|VALUES=3000332,3000601</t>
  </si>
  <si>
    <t>TABLENAME=UTBL_OBJ1000368|FIELDS=D_KA1,D_KA2|VALUES=3000332,3000615</t>
  </si>
  <si>
    <t>TABLENAME=UTBL_OBJ1000368|FIELDS=D_KA1,D_KA2|VALUES=3000332,3000616</t>
  </si>
  <si>
    <t>TABLENAME=UTBL_OBJ1000368|FIELDS=D_KA1,D_KA2|VALUES=3000332,3000617</t>
  </si>
  <si>
    <t>TABLENAME=UTBL_OBJ1000368|FIELDS=D_KA1,D_KA2|VALUES=3000332,3000618</t>
  </si>
  <si>
    <t>TABLENAME=UTBL_OBJ1000368|FIELDS=D_KA1,D_KA2|VALUES=3000332,3000619</t>
  </si>
  <si>
    <t>TABLENAME=UTBL_OBJ1000368|FIELDS=D_KA1,D_KA2|VALUES=3000332,3000620</t>
  </si>
  <si>
    <t>TABLENAME=UTBL_OBJ1000368|FIELDS=D_KA1,D_KA2|VALUES=3000332,3000622</t>
  </si>
  <si>
    <t>TABLENAME=UTBL_OBJ1000368|FIELDS=D_KA1,D_KA2|VALUES=3000332,3000623</t>
  </si>
  <si>
    <t>TABLENAME=UTBL_OBJ1000368|FIELDS=D_KA1,D_KA2|VALUES=3000332,3000624</t>
  </si>
  <si>
    <t>TABLENAME=UTBL_OBJ1000368|FIELDS=D_KA1,D_KA2|VALUES=3000332,3000608</t>
  </si>
  <si>
    <t>TABLENAME=UTBL_OBJ1000368|FIELDS=D_KA1,D_KA2|VALUES=3000332,3000609</t>
  </si>
  <si>
    <t>TABLENAME=UTBL_OBJ1000368|FIELDS=D_KA1,D_KA2|VALUES=3000332,3000610</t>
  </si>
  <si>
    <t>TABLENAME=UTBL_OBJ1000368|FIELDS=D_KA1,D_KA2|VALUES=3000332,3000611</t>
  </si>
  <si>
    <t>TABLENAME=UTBL_OBJ1000368|FIELDS=D_KA1,D_KA2|VALUES=3000332,3000613</t>
  </si>
  <si>
    <t>TABLENAME=UTBL_OBJ1000368|FIELDS=D_KA1,D_KA2|VALUES=3000332,3000614</t>
  </si>
  <si>
    <t>TABLENAME=UTBL_OBJ1000368|FIELDS=D_KA1,D_KA2|VALUES=3000332,3000604</t>
  </si>
  <si>
    <t>Постановление Правительства Российской Федерации от 30.12.2017 № 1710 (ред. от 13.02.2024) 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</si>
  <si>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0502</t>
  </si>
  <si>
    <t>2.1.6.</t>
  </si>
  <si>
    <t xml:space="preserve">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</t>
  </si>
  <si>
    <t>ст.16, ч.1, п.5</t>
  </si>
  <si>
    <t>Постановление Администрации г. Обнинска от 23.06.2014 N 1096-п (ред. от 29.11.2023) "Об утверждении Положения "О порядке расходования средств резервного фонда Администрации города Обнинска"</t>
  </si>
  <si>
    <t>Пункт 2</t>
  </si>
  <si>
    <t xml:space="preserve">0409   </t>
  </si>
  <si>
    <t>TABLENAME=UTBL_OBJ1000368|FIELDS=D_KA1,D_KA2|VALUES=3000339,3000601</t>
  </si>
  <si>
    <t>TABLENAME=UTBL_OBJ1000368|FIELDS=D_KA1,D_KA2|VALUES=3000339,3000615</t>
  </si>
  <si>
    <t>TABLENAME=UTBL_OBJ1000368|FIELDS=D_KA1,D_KA2|VALUES=3000339,3000616</t>
  </si>
  <si>
    <t>TABLENAME=UTBL_OBJ1000368|FIELDS=D_KA1,D_KA2|VALUES=3000339,3000617</t>
  </si>
  <si>
    <t>TABLENAME=UTBL_OBJ1000368|FIELDS=D_KA1,D_KA2|VALUES=3000339,3000618</t>
  </si>
  <si>
    <t>TABLENAME=UTBL_OBJ1000368|FIELDS=D_KA1,D_KA2|VALUES=3000339,3000619</t>
  </si>
  <si>
    <t>TABLENAME=UTBL_OBJ1000368|FIELDS=D_KA1,D_KA2|VALUES=3000339,3000620</t>
  </si>
  <si>
    <t>TABLENAME=UTBL_OBJ1000368|FIELDS=D_KA1,D_KA2|VALUES=3000339,3000622</t>
  </si>
  <si>
    <t>TABLENAME=UTBL_OBJ1000368|FIELDS=D_KA1,D_KA2|VALUES=3000339,3000623</t>
  </si>
  <si>
    <t>TABLENAME=UTBL_OBJ1000368|FIELDS=D_KA1,D_KA2|VALUES=3000339,3000624</t>
  </si>
  <si>
    <t>TABLENAME=UTBL_OBJ1000368|FIELDS=D_KA1,D_KA2|VALUES=3000339,3000608</t>
  </si>
  <si>
    <t>TABLENAME=UTBL_OBJ1000368|FIELDS=D_KA1,D_KA2|VALUES=3000339,3000609</t>
  </si>
  <si>
    <t>TABLENAME=UTBL_OBJ1000368|FIELDS=D_KA1,D_KA2|VALUES=3000339,3000610</t>
  </si>
  <si>
    <t>TABLENAME=UTBL_OBJ1000368|FIELDS=D_KA1,D_KA2|VALUES=3000339,3000611</t>
  </si>
  <si>
    <t>TABLENAME=UTBL_OBJ1000368|FIELDS=D_KA1,D_KA2|VALUES=3000339,3000613</t>
  </si>
  <si>
    <t>TABLENAME=UTBL_OBJ1000368|FIELDS=D_KA1,D_KA2|VALUES=3000339,3000614</t>
  </si>
  <si>
    <t>TABLENAME=UTBL_OBJ1000368|FIELDS=D_KA1,D_KA2|VALUES=3000339,3000604</t>
  </si>
  <si>
    <t>0409</t>
  </si>
  <si>
    <t>2.1.7.</t>
  </si>
  <si>
    <t>обеспечение проживающих в городском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</t>
  </si>
  <si>
    <t>ст.16, ч.1, п.6</t>
  </si>
  <si>
    <t>Постановление Администрации г. Обнинска от 24.10.2014 N 1998-п (ред. от 05.12.2023) "Об утверждении муниципальной программы "Содержание и обслуживание жилищного фонда муниципального образования "Город Обнинск"</t>
  </si>
  <si>
    <t xml:space="preserve">Раздел 5  </t>
  </si>
  <si>
    <t>28.10.2014-31.12.2024</t>
  </si>
  <si>
    <t>0501,   1003,       1004</t>
  </si>
  <si>
    <t>TABLENAME=UTBL_OBJ1000368|FIELDS=D_KA1,D_KA2|VALUES=3000344,3000601</t>
  </si>
  <si>
    <t>TABLENAME=UTBL_OBJ1000368|FIELDS=D_KA1,D_KA2|VALUES=3000344,3000615</t>
  </si>
  <si>
    <t>TABLENAME=UTBL_OBJ1000368|FIELDS=D_KA1,D_KA2|VALUES=3000344,3000616</t>
  </si>
  <si>
    <t>TABLENAME=UTBL_OBJ1000368|FIELDS=D_KA1,D_KA2|VALUES=3000344,3000617</t>
  </si>
  <si>
    <t>TABLENAME=UTBL_OBJ1000368|FIELDS=D_KA1,D_KA2|VALUES=3000344,3000618</t>
  </si>
  <si>
    <t>TABLENAME=UTBL_OBJ1000368|FIELDS=D_KA1,D_KA2|VALUES=3000344,3000619</t>
  </si>
  <si>
    <t>TABLENAME=UTBL_OBJ1000368|FIELDS=D_KA1,D_KA2|VALUES=3000344,3000620</t>
  </si>
  <si>
    <t>TABLENAME=UTBL_OBJ1000368|FIELDS=D_KA1,D_KA2|VALUES=3000344,3000622</t>
  </si>
  <si>
    <t>TABLENAME=UTBL_OBJ1000368|FIELDS=D_KA1,D_KA2|VALUES=3000344,3000623</t>
  </si>
  <si>
    <t>TABLENAME=UTBL_OBJ1000368|FIELDS=D_KA1,D_KA2|VALUES=3000344,3000624</t>
  </si>
  <si>
    <t>TABLENAME=UTBL_OBJ1000368|FIELDS=D_KA1,D_KA2|VALUES=3000344,3000608</t>
  </si>
  <si>
    <t>TABLENAME=UTBL_OBJ1000368|FIELDS=D_KA1,D_KA2|VALUES=3000344,3000609</t>
  </si>
  <si>
    <t>TABLENAME=UTBL_OBJ1000368|FIELDS=D_KA1,D_KA2|VALUES=3000344,3000610</t>
  </si>
  <si>
    <t>TABLENAME=UTBL_OBJ1000368|FIELDS=D_KA1,D_KA2|VALUES=3000344,3000611</t>
  </si>
  <si>
    <t>TABLENAME=UTBL_OBJ1000368|FIELDS=D_KA1,D_KA2|VALUES=3000344,3000613</t>
  </si>
  <si>
    <t>TABLENAME=UTBL_OBJ1000368|FIELDS=D_KA1,D_KA2|VALUES=3000344,3000614</t>
  </si>
  <si>
    <t>TABLENAME=UTBL_OBJ1000368|FIELDS=D_KA1,D_KA2|VALUES=3000344,3000604</t>
  </si>
  <si>
    <t xml:space="preserve">Постановление Администрации г. Обнинска от 24.10.2014 N 1996-п (ред. от 18.12.2023) "Об утверждении муниципальной программы "Социальная поддержка населения города Обнинска" </t>
  </si>
  <si>
    <t>18.11.2014-31.12.2024</t>
  </si>
  <si>
    <t>Указ Президента Российской Федерации от 07.05.2012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</si>
  <si>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п.2, пп.б), абз.2</t>
  </si>
  <si>
    <t>1003</t>
  </si>
  <si>
    <t>1004</t>
  </si>
  <si>
    <t>2.1.10.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</si>
  <si>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</si>
  <si>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ст.16 ч.1 п.7</t>
  </si>
  <si>
    <t xml:space="preserve">Постановление Администрации г. Обнинска от 09.06.2021 N 1310-п (ред. от 22.02.2024) "Об утверждении Положения "О предоставлении субсидии муниципальным предприятиям города Обнинска Калужской области на финансовое обеспечение затрат" </t>
  </si>
  <si>
    <t>В целом</t>
  </si>
  <si>
    <t>10.06.2021, не установлен</t>
  </si>
  <si>
    <t>0408</t>
  </si>
  <si>
    <t>TABLENAME=UTBL_OBJ1000368|FIELDS=D_KA1,D_KA2|VALUES=3000349,3000601</t>
  </si>
  <si>
    <t>TABLENAME=UTBL_OBJ1000368|FIELDS=D_KA1,D_KA2|VALUES=3000349,3000615</t>
  </si>
  <si>
    <t>TABLENAME=UTBL_OBJ1000368|FIELDS=D_KA1,D_KA2|VALUES=3000349,3000616</t>
  </si>
  <si>
    <t>TABLENAME=UTBL_OBJ1000368|FIELDS=D_KA1,D_KA2|VALUES=3000349,3000617</t>
  </si>
  <si>
    <t>TABLENAME=UTBL_OBJ1000368|FIELDS=D_KA1,D_KA2|VALUES=3000349,3000618</t>
  </si>
  <si>
    <t>TABLENAME=UTBL_OBJ1000368|FIELDS=D_KA1,D_KA2|VALUES=3000349,3000619</t>
  </si>
  <si>
    <t>TABLENAME=UTBL_OBJ1000368|FIELDS=D_KA1,D_KA2|VALUES=3000349,3000620</t>
  </si>
  <si>
    <t>TABLENAME=UTBL_OBJ1000368|FIELDS=D_KA1,D_KA2|VALUES=3000349,3000622</t>
  </si>
  <si>
    <t>TABLENAME=UTBL_OBJ1000368|FIELDS=D_KA1,D_KA2|VALUES=3000349,3000623</t>
  </si>
  <si>
    <t>TABLENAME=UTBL_OBJ1000368|FIELDS=D_KA1,D_KA2|VALUES=3000349,3000624</t>
  </si>
  <si>
    <t>TABLENAME=UTBL_OBJ1000368|FIELDS=D_KA1,D_KA2|VALUES=3000349,3000608</t>
  </si>
  <si>
    <t>TABLENAME=UTBL_OBJ1000368|FIELDS=D_KA1,D_KA2|VALUES=3000349,3000609</t>
  </si>
  <si>
    <t>TABLENAME=UTBL_OBJ1000368|FIELDS=D_KA1,D_KA2|VALUES=3000349,3000610</t>
  </si>
  <si>
    <t>TABLENAME=UTBL_OBJ1000368|FIELDS=D_KA1,D_KA2|VALUES=3000349,3000611</t>
  </si>
  <si>
    <t>TABLENAME=UTBL_OBJ1000368|FIELDS=D_KA1,D_KA2|VALUES=3000349,3000613</t>
  </si>
  <si>
    <t>TABLENAME=UTBL_OBJ1000368|FIELDS=D_KA1,D_KA2|VALUES=3000349,3000614</t>
  </si>
  <si>
    <t>TABLENAME=UTBL_OBJ1000368|FIELDS=D_KA1,D_KA2|VALUES=3000349,3000604</t>
  </si>
  <si>
    <t>2.1.14.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</si>
  <si>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</si>
  <si>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ст.16, ч.1,    п.7.1</t>
  </si>
  <si>
    <t xml:space="preserve">Постановление Администрации г. Обнинска от 24.10.2014 N 2022-п (ред. от 21.07.2023) "Об утверждении муниципальной программы "Обеспечение правопорядка и безопасности населения на территории города Обнинска" </t>
  </si>
  <si>
    <t>06.11.2014- 31.12.2024</t>
  </si>
  <si>
    <t>0113     0701         0702</t>
  </si>
  <si>
    <t>2.1.16.</t>
  </si>
  <si>
    <t>участие в предупреждении и ликвидации последствий чрезвычайных ситуаций в границах городского округа</t>
  </si>
  <si>
    <t>Ст.16, ч1, п.8</t>
  </si>
  <si>
    <t>Постановление Администрации г. Обнинска от 23.06.2014 N 1096-п (ред. от 05.07.2021) «Об утверждении Положения «О порядке расходования средств резервного фонда Администрации города Обнинска»</t>
  </si>
  <si>
    <t>0111</t>
  </si>
  <si>
    <t>TABLENAME=UTBL_OBJ1000368|FIELDS=D_KA1,D_KA2|VALUES=3000353,3000601</t>
  </si>
  <si>
    <t>TABLENAME=UTBL_OBJ1000368|FIELDS=D_KA1,D_KA2|VALUES=3000353,3000615</t>
  </si>
  <si>
    <t>TABLENAME=UTBL_OBJ1000368|FIELDS=D_KA1,D_KA2|VALUES=3000353,3000616</t>
  </si>
  <si>
    <t>TABLENAME=UTBL_OBJ1000368|FIELDS=D_KA1,D_KA2|VALUES=3000353,3000617</t>
  </si>
  <si>
    <t>TABLENAME=UTBL_OBJ1000368|FIELDS=D_KA1,D_KA2|VALUES=3000353,3000618</t>
  </si>
  <si>
    <t>TABLENAME=UTBL_OBJ1000368|FIELDS=D_KA1,D_KA2|VALUES=3000353,3000619</t>
  </si>
  <si>
    <t>TABLENAME=UTBL_OBJ1000368|FIELDS=D_KA1,D_KA2|VALUES=3000353,3000620</t>
  </si>
  <si>
    <t>TABLENAME=UTBL_OBJ1000368|FIELDS=D_KA1,D_KA2|VALUES=3000353,3000622</t>
  </si>
  <si>
    <t>TABLENAME=UTBL_OBJ1000368|FIELDS=D_KA1,D_KA2|VALUES=3000353,3000623</t>
  </si>
  <si>
    <t>TABLENAME=UTBL_OBJ1000368|FIELDS=D_KA1,D_KA2|VALUES=3000353,3000624</t>
  </si>
  <si>
    <t>TABLENAME=UTBL_OBJ1000368|FIELDS=D_KA1,D_KA2|VALUES=3000353,3000608</t>
  </si>
  <si>
    <t>TABLENAME=UTBL_OBJ1000368|FIELDS=D_KA1,D_KA2|VALUES=3000353,3000609</t>
  </si>
  <si>
    <t>TABLENAME=UTBL_OBJ1000368|FIELDS=D_KA1,D_KA2|VALUES=3000353,3000610</t>
  </si>
  <si>
    <t>TABLENAME=UTBL_OBJ1000368|FIELDS=D_KA1,D_KA2|VALUES=3000353,3000611</t>
  </si>
  <si>
    <t>TABLENAME=UTBL_OBJ1000368|FIELDS=D_KA1,D_KA2|VALUES=3000353,3000613</t>
  </si>
  <si>
    <t>TABLENAME=UTBL_OBJ1000368|FIELDS=D_KA1,D_KA2|VALUES=3000353,3000614</t>
  </si>
  <si>
    <t>TABLENAME=UTBL_OBJ1000368|FIELDS=D_KA1,D_KA2|VALUES=3000353,3000604</t>
  </si>
  <si>
    <t>2.1.19.</t>
  </si>
  <si>
    <t>обеспечение первичных мер пожарной безопасности в границах городского округа</t>
  </si>
  <si>
    <t>Ст.16, ч.1, п.10</t>
  </si>
  <si>
    <t>06.11.2014 г., 31.12.2024</t>
  </si>
  <si>
    <t>0310</t>
  </si>
  <si>
    <t>TABLENAME=UTBL_OBJ1000368|FIELDS=D_KA1,D_KA2|VALUES=3000356,3000601</t>
  </si>
  <si>
    <t>TABLENAME=UTBL_OBJ1000368|FIELDS=D_KA1,D_KA2|VALUES=3000356,3000615</t>
  </si>
  <si>
    <t>TABLENAME=UTBL_OBJ1000368|FIELDS=D_KA1,D_KA2|VALUES=3000356,3000616</t>
  </si>
  <si>
    <t>TABLENAME=UTBL_OBJ1000368|FIELDS=D_KA1,D_KA2|VALUES=3000356,3000617</t>
  </si>
  <si>
    <t>TABLENAME=UTBL_OBJ1000368|FIELDS=D_KA1,D_KA2|VALUES=3000356,3000618</t>
  </si>
  <si>
    <t>TABLENAME=UTBL_OBJ1000368|FIELDS=D_KA1,D_KA2|VALUES=3000356,3000619</t>
  </si>
  <si>
    <t>TABLENAME=UTBL_OBJ1000368|FIELDS=D_KA1,D_KA2|VALUES=3000356,3000620</t>
  </si>
  <si>
    <t>TABLENAME=UTBL_OBJ1000368|FIELDS=D_KA1,D_KA2|VALUES=3000356,3000622</t>
  </si>
  <si>
    <t>TABLENAME=UTBL_OBJ1000368|FIELDS=D_KA1,D_KA2|VALUES=3000356,3000623</t>
  </si>
  <si>
    <t>TABLENAME=UTBL_OBJ1000368|FIELDS=D_KA1,D_KA2|VALUES=3000356,3000624</t>
  </si>
  <si>
    <t>TABLENAME=UTBL_OBJ1000368|FIELDS=D_KA1,D_KA2|VALUES=3000356,3000608</t>
  </si>
  <si>
    <t>TABLENAME=UTBL_OBJ1000368|FIELDS=D_KA1,D_KA2|VALUES=3000356,3000609</t>
  </si>
  <si>
    <t>TABLENAME=UTBL_OBJ1000368|FIELDS=D_KA1,D_KA2|VALUES=3000356,3000610</t>
  </si>
  <si>
    <t>TABLENAME=UTBL_OBJ1000368|FIELDS=D_KA1,D_KA2|VALUES=3000356,3000611</t>
  </si>
  <si>
    <t>TABLENAME=UTBL_OBJ1000368|FIELDS=D_KA1,D_KA2|VALUES=3000356,3000613</t>
  </si>
  <si>
    <t>TABLENAME=UTBL_OBJ1000368|FIELDS=D_KA1,D_KA2|VALUES=3000356,3000614</t>
  </si>
  <si>
    <t>TABLENAME=UTBL_OBJ1000368|FIELDS=D_KA1,D_KA2|VALUES=3000356,3000604</t>
  </si>
  <si>
    <t>2.1.21.</t>
  </si>
  <si>
    <r>
      <rPr>
        <sz val="10"/>
        <color indexed="8"/>
        <rFont val="Times New Roman"/>
        <family val="1"/>
      </rPr>
      <t xml:space="preserve">организация предоставления общедоступного и бесплатного </t>
    </r>
    <r>
      <rPr>
        <b/>
        <sz val="10"/>
        <color indexed="8"/>
        <rFont val="Times New Roman"/>
        <family val="1"/>
      </rPr>
      <t>дошкольного образования (</t>
    </r>
    <r>
      <rPr>
        <sz val="10"/>
        <color indexed="8"/>
        <rFont val="Times New Roman"/>
        <family val="1"/>
      </rPr>
      <t>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  </r>
  </si>
  <si>
    <t>Статья 16, ч.1, п.13</t>
  </si>
  <si>
    <t xml:space="preserve">Постановление Администрации г. Обнинска от 24.10.2014 N 1995-п (ред. от 20.12.2023) "Об утверждении муниципальной программы "Развитие системы образования города Обнинска" </t>
  </si>
  <si>
    <t>0701</t>
  </si>
  <si>
    <t>TABLENAME=UTBL_OBJ1000368|FIELDS=D_KA1,D_KA2|VALUES=3000359,3000601</t>
  </si>
  <si>
    <t>TABLENAME=UTBL_OBJ1000368|FIELDS=D_KA1,D_KA2|VALUES=3000359,3000615</t>
  </si>
  <si>
    <t>TABLENAME=UTBL_OBJ1000368|FIELDS=D_KA1,D_KA2|VALUES=3000359,3000616</t>
  </si>
  <si>
    <t>TABLENAME=UTBL_OBJ1000368|FIELDS=D_KA1,D_KA2|VALUES=3000359,3000617</t>
  </si>
  <si>
    <t>TABLENAME=UTBL_OBJ1000368|FIELDS=D_KA1,D_KA2|VALUES=3000359,3000618</t>
  </si>
  <si>
    <t>TABLENAME=UTBL_OBJ1000368|FIELDS=D_KA1,D_KA2|VALUES=3000359,3000619</t>
  </si>
  <si>
    <t>TABLENAME=UTBL_OBJ1000368|FIELDS=D_KA1,D_KA2|VALUES=3000359,3000620</t>
  </si>
  <si>
    <t>TABLENAME=UTBL_OBJ1000368|FIELDS=D_KA1,D_KA2|VALUES=3000359,3000622</t>
  </si>
  <si>
    <t>TABLENAME=UTBL_OBJ1000368|FIELDS=D_KA1,D_KA2|VALUES=3000359,3000623</t>
  </si>
  <si>
    <t>TABLENAME=UTBL_OBJ1000368|FIELDS=D_KA1,D_KA2|VALUES=3000359,3000624</t>
  </si>
  <si>
    <t>TABLENAME=UTBL_OBJ1000368|FIELDS=D_KA1,D_KA2|VALUES=3000359,3000608</t>
  </si>
  <si>
    <t>TABLENAME=UTBL_OBJ1000368|FIELDS=D_KA1,D_KA2|VALUES=3000359,3000609</t>
  </si>
  <si>
    <t>TABLENAME=UTBL_OBJ1000368|FIELDS=D_KA1,D_KA2|VALUES=3000359,3000610</t>
  </si>
  <si>
    <t>TABLENAME=UTBL_OBJ1000368|FIELDS=D_KA1,D_KA2|VALUES=3000359,3000611</t>
  </si>
  <si>
    <t>TABLENAME=UTBL_OBJ1000368|FIELDS=D_KA1,D_KA2|VALUES=3000359,3000613</t>
  </si>
  <si>
    <t>TABLENAME=UTBL_OBJ1000368|FIELDS=D_KA1,D_KA2|VALUES=3000359,3000614</t>
  </si>
  <si>
    <t>TABLENAME=UTBL_OBJ1000368|FIELDS=D_KA1,D_KA2|VALUES=3000359,3000604</t>
  </si>
  <si>
    <t>Фед.Закон от 29.12.2012 № 273-ФЗ (ред. от 25.12.2023) "Об образовании в Российской Федерации"</t>
  </si>
  <si>
    <t>Ст.9, ч.1</t>
  </si>
  <si>
    <t>Указ Президента Российской Федерации от 07.05.2012  № 599 «О мерах по реализации государственной политики в области образования и науки»</t>
  </si>
  <si>
    <t>п.1, пп. в), абз.2</t>
  </si>
  <si>
    <t>2.1.22.</t>
  </si>
  <si>
    <r>
      <rPr>
        <sz val="10"/>
        <color indexed="8"/>
        <rFont val="Times New Roman"/>
        <family val="1"/>
      </rPr>
      <t xml:space="preserve">организация предоставления общедоступного и бесплатного </t>
    </r>
    <r>
      <rPr>
        <b/>
        <sz val="10"/>
        <color indexed="8"/>
        <rFont val="Times New Roman"/>
        <family val="1"/>
      </rPr>
      <t xml:space="preserve">начального общего, основного общего, среднего общего </t>
    </r>
    <r>
      <rPr>
        <sz val="10"/>
        <color indexed="8"/>
        <rFont val="Times New Roman"/>
        <family val="1"/>
      </rPr>
      <t>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городской местности</t>
    </r>
  </si>
  <si>
    <t>0702</t>
  </si>
  <si>
    <t>2.1.24.</t>
  </si>
  <si>
    <r>
      <rPr>
        <sz val="10"/>
        <color indexed="8"/>
        <rFont val="Times New Roman"/>
        <family val="1"/>
      </rPr>
      <t xml:space="preserve">организация предоставления </t>
    </r>
    <r>
      <rPr>
        <b/>
        <sz val="10"/>
        <color indexed="8"/>
        <rFont val="Times New Roman"/>
        <family val="1"/>
      </rPr>
      <t>дополнительного образования детей</t>
    </r>
    <r>
      <rPr>
        <sz val="10"/>
        <color indexed="8"/>
        <rFont val="Times New Roman"/>
        <family val="1"/>
      </rPr>
      <t xml:space="preserve">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  </r>
  </si>
  <si>
    <t xml:space="preserve">Постановление Администрации г.Обнинска от от 24.10.2014 № 1991-п (ред. от 07.12.2023) «Об утверждении муниципальной программы «Развитие культуры города Обнинска» </t>
  </si>
  <si>
    <t>подраздел 4.4. раздела 4, раздел 5</t>
  </si>
  <si>
    <t>18.11.2014- 31.12.2024</t>
  </si>
  <si>
    <t>0703</t>
  </si>
  <si>
    <t>2.1.25.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</si>
  <si>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</si>
  <si>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0707</t>
  </si>
  <si>
    <t>2.1.26.</t>
  </si>
  <si>
    <r>
      <rPr>
        <sz val="10"/>
        <rFont val="Times New Roman"/>
        <family val="1"/>
      </rPr>
      <t xml:space="preserve"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, организация предоставления дополнительного образования детей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 </t>
    </r>
    <r>
      <rPr>
        <b/>
        <sz val="10"/>
        <rFont val="Times New Roman"/>
        <family val="1"/>
      </rPr>
      <t>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  </r>
  </si>
  <si>
    <t>0709</t>
  </si>
  <si>
    <t>п.1, пп. а), абз.8</t>
  </si>
  <si>
    <t>2.1.29.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</si>
  <si>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</si>
  <si>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 xml:space="preserve">  Статья 16, ч.1, п.16</t>
  </si>
  <si>
    <t>Закон Калужской области "О библиотечном деле в Калужской области" от 13.01.1995 №7-ОЗ (в ред. от 04.07.2002 № 131-ОЗ)</t>
  </si>
  <si>
    <t>Статьи 2, 5,24</t>
  </si>
  <si>
    <t>подраздел 4.2. раздела 4, раздел 5</t>
  </si>
  <si>
    <t>18.11.2014 - 31.12.2024</t>
  </si>
  <si>
    <t>0801</t>
  </si>
  <si>
    <t>TABLENAME=UTBL_OBJ1000368|FIELDS=D_KA1,D_KA2|VALUES=3000374,3000601</t>
  </si>
  <si>
    <t>TABLENAME=UTBL_OBJ1000368|FIELDS=D_KA1,D_KA2|VALUES=3000374,3000615</t>
  </si>
  <si>
    <t>TABLENAME=UTBL_OBJ1000368|FIELDS=D_KA1,D_KA2|VALUES=3000374,3000616</t>
  </si>
  <si>
    <t>TABLENAME=UTBL_OBJ1000368|FIELDS=D_KA1,D_KA2|VALUES=3000374,3000617</t>
  </si>
  <si>
    <t>TABLENAME=UTBL_OBJ1000368|FIELDS=D_KA1,D_KA2|VALUES=3000374,3000618</t>
  </si>
  <si>
    <t>TABLENAME=UTBL_OBJ1000368|FIELDS=D_KA1,D_KA2|VALUES=3000374,3000619</t>
  </si>
  <si>
    <t>TABLENAME=UTBL_OBJ1000368|FIELDS=D_KA1,D_KA2|VALUES=3000374,3000620</t>
  </si>
  <si>
    <t>TABLENAME=UTBL_OBJ1000368|FIELDS=D_KA1,D_KA2|VALUES=3000374,3000622</t>
  </si>
  <si>
    <t>TABLENAME=UTBL_OBJ1000368|FIELDS=D_KA1,D_KA2|VALUES=3000374,3000623</t>
  </si>
  <si>
    <t>TABLENAME=UTBL_OBJ1000368|FIELDS=D_KA1,D_KA2|VALUES=3000374,3000624</t>
  </si>
  <si>
    <t>TABLENAME=UTBL_OBJ1000368|FIELDS=D_KA1,D_KA2|VALUES=3000374,3000608</t>
  </si>
  <si>
    <t>TABLENAME=UTBL_OBJ1000368|FIELDS=D_KA1,D_KA2|VALUES=3000374,3000609</t>
  </si>
  <si>
    <t>TABLENAME=UTBL_OBJ1000368|FIELDS=D_KA1,D_KA2|VALUES=3000374,3000610</t>
  </si>
  <si>
    <t>TABLENAME=UTBL_OBJ1000368|FIELDS=D_KA1,D_KA2|VALUES=3000374,3000611</t>
  </si>
  <si>
    <t>TABLENAME=UTBL_OBJ1000368|FIELDS=D_KA1,D_KA2|VALUES=3000374,3000613</t>
  </si>
  <si>
    <t>TABLENAME=UTBL_OBJ1000368|FIELDS=D_KA1,D_KA2|VALUES=3000374,3000614</t>
  </si>
  <si>
    <t>TABLENAME=UTBL_OBJ1000368|FIELDS=D_KA1,D_KA2|VALUES=3000374,3000604</t>
  </si>
  <si>
    <t>Указ Президента Российской Федерации от 07.05.2012 № 597 «О мероприятиях по реализации государственной социальной политики»</t>
  </si>
  <si>
    <t>п.2, пп. а)</t>
  </si>
  <si>
    <t>2.1.30.</t>
  </si>
  <si>
    <t>создание условий для организации досуга и обеспечения жителей городского округа услугами организаций культуры</t>
  </si>
  <si>
    <t>Статья 16, ч.1, п.17</t>
  </si>
  <si>
    <t>0801, 0802,   0804</t>
  </si>
  <si>
    <t>TABLENAME=UTBL_OBJ1000368|FIELDS=D_KA1,D_KA2|VALUES=3000377,3000601</t>
  </si>
  <si>
    <t>TABLENAME=UTBL_OBJ1000368|FIELDS=D_KA1,D_KA2|VALUES=3000377,3000615</t>
  </si>
  <si>
    <t>TABLENAME=UTBL_OBJ1000368|FIELDS=D_KA1,D_KA2|VALUES=3000377,3000616</t>
  </si>
  <si>
    <t>TABLENAME=UTBL_OBJ1000368|FIELDS=D_KA1,D_KA2|VALUES=3000377,3000617</t>
  </si>
  <si>
    <t>TABLENAME=UTBL_OBJ1000368|FIELDS=D_KA1,D_KA2|VALUES=3000377,3000618</t>
  </si>
  <si>
    <t>TABLENAME=UTBL_OBJ1000368|FIELDS=D_KA1,D_KA2|VALUES=3000377,3000619</t>
  </si>
  <si>
    <t>TABLENAME=UTBL_OBJ1000368|FIELDS=D_KA1,D_KA2|VALUES=3000377,3000620</t>
  </si>
  <si>
    <t>TABLENAME=UTBL_OBJ1000368|FIELDS=D_KA1,D_KA2|VALUES=3000377,3000622</t>
  </si>
  <si>
    <t>TABLENAME=UTBL_OBJ1000368|FIELDS=D_KA1,D_KA2|VALUES=3000377,3000623</t>
  </si>
  <si>
    <t>TABLENAME=UTBL_OBJ1000368|FIELDS=D_KA1,D_KA2|VALUES=3000377,3000624</t>
  </si>
  <si>
    <t>TABLENAME=UTBL_OBJ1000368|FIELDS=D_KA1,D_KA2|VALUES=3000377,3000608</t>
  </si>
  <si>
    <t>TABLENAME=UTBL_OBJ1000368|FIELDS=D_KA1,D_KA2|VALUES=3000377,3000609</t>
  </si>
  <si>
    <t>TABLENAME=UTBL_OBJ1000368|FIELDS=D_KA1,D_KA2|VALUES=3000377,3000610</t>
  </si>
  <si>
    <t>TABLENAME=UTBL_OBJ1000368|FIELDS=D_KA1,D_KA2|VALUES=3000377,3000611</t>
  </si>
  <si>
    <t>TABLENAME=UTBL_OBJ1000368|FIELDS=D_KA1,D_KA2|VALUES=3000377,3000613</t>
  </si>
  <si>
    <t>TABLENAME=UTBL_OBJ1000368|FIELDS=D_KA1,D_KA2|VALUES=3000377,3000614</t>
  </si>
  <si>
    <t>TABLENAME=UTBL_OBJ1000368|FIELDS=D_KA1,D_KA2|VALUES=3000377,3000604</t>
  </si>
  <si>
    <t>Постановление Администрации г.Обнинска от от 24.10.2014 № 1991-п (ред. от 07.12.2023) «Об утверждении муниципальной программы «Развитие культуры города Обнинска»</t>
  </si>
  <si>
    <t>подраздел 4.1. раздела 4, раздел 5</t>
  </si>
  <si>
    <t>2.1.33.</t>
  </si>
  <si>
    <t>обеспечение условий для развития на территории городского округа физической культуры, школьного спорта и массового спорта</t>
  </si>
  <si>
    <t>Статья 16, ч.1, п.19</t>
  </si>
  <si>
    <t xml:space="preserve">Постановление Администрации г. Обнинска от 24.10.2014 N 2031-п (ред. от 22.02.2024) "Об утверждении муниципальной программы "Развитие физической культуры и спорта в городе Обнинске" </t>
  </si>
  <si>
    <t>1101, 1103</t>
  </si>
  <si>
    <t>TABLENAME=UTBL_OBJ1000368|FIELDS=D_KA1,D_KA2|VALUES=3000386,3000601</t>
  </si>
  <si>
    <t>TABLENAME=UTBL_OBJ1000368|FIELDS=D_KA1,D_KA2|VALUES=3000386,3000615</t>
  </si>
  <si>
    <t>TABLENAME=UTBL_OBJ1000368|FIELDS=D_KA1,D_KA2|VALUES=3000386,3000616</t>
  </si>
  <si>
    <t>TABLENAME=UTBL_OBJ1000368|FIELDS=D_KA1,D_KA2|VALUES=3000386,3000617</t>
  </si>
  <si>
    <t>TABLENAME=UTBL_OBJ1000368|FIELDS=D_KA1,D_KA2|VALUES=3000386,3000618</t>
  </si>
  <si>
    <t>TABLENAME=UTBL_OBJ1000368|FIELDS=D_KA1,D_KA2|VALUES=3000386,3000619</t>
  </si>
  <si>
    <t>TABLENAME=UTBL_OBJ1000368|FIELDS=D_KA1,D_KA2|VALUES=3000386,3000620</t>
  </si>
  <si>
    <t>TABLENAME=UTBL_OBJ1000368|FIELDS=D_KA1,D_KA2|VALUES=3000386,3000622</t>
  </si>
  <si>
    <t>TABLENAME=UTBL_OBJ1000368|FIELDS=D_KA1,D_KA2|VALUES=3000386,3000623</t>
  </si>
  <si>
    <t>TABLENAME=UTBL_OBJ1000368|FIELDS=D_KA1,D_KA2|VALUES=3000386,3000624</t>
  </si>
  <si>
    <t>TABLENAME=UTBL_OBJ1000368|FIELDS=D_KA1,D_KA2|VALUES=3000386,3000608</t>
  </si>
  <si>
    <t>TABLENAME=UTBL_OBJ1000368|FIELDS=D_KA1,D_KA2|VALUES=3000386,3000609</t>
  </si>
  <si>
    <t>TABLENAME=UTBL_OBJ1000368|FIELDS=D_KA1,D_KA2|VALUES=3000386,3000610</t>
  </si>
  <si>
    <t>TABLENAME=UTBL_OBJ1000368|FIELDS=D_KA1,D_KA2|VALUES=3000386,3000611</t>
  </si>
  <si>
    <t>TABLENAME=UTBL_OBJ1000368|FIELDS=D_KA1,D_KA2|VALUES=3000386,3000613</t>
  </si>
  <si>
    <t>TABLENAME=UTBL_OBJ1000368|FIELDS=D_KA1,D_KA2|VALUES=3000386,3000614</t>
  </si>
  <si>
    <t>TABLENAME=UTBL_OBJ1000368|FIELDS=D_KA1,D_KA2|VALUES=3000386,3000604</t>
  </si>
  <si>
    <t>Постановление Правительства Российской Федерации от 30.09.2021 №1661 (ред. от 15.12.2023) «Об утверждении государственной программы Российской Федерации «Развитие физической культуры и спорта»</t>
  </si>
  <si>
    <t>1101</t>
  </si>
  <si>
    <t>2.1.34.</t>
  </si>
  <si>
    <t>организация проведения официальных физкультурно-оздоровительных и спортивных мероприятий городского округа</t>
  </si>
  <si>
    <t>2.1.35.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</si>
  <si>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</si>
  <si>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Статья 16, ч.1, п.20</t>
  </si>
  <si>
    <t xml:space="preserve">Постановление Администрации г. Обнинска от 27.10.2014 N 2040-п (ред. от 16.02.2024) "Об утверждении муниципальной программы муниципального образования "Город Обнинск" "Благоустройство города Обнинска" </t>
  </si>
  <si>
    <t>11.11.2014 г., 31.12.2024</t>
  </si>
  <si>
    <t>0503</t>
  </si>
  <si>
    <t>2.1.37.</t>
  </si>
  <si>
    <t>организация ритуальных услуг и содержание мест захоронения</t>
  </si>
  <si>
    <t xml:space="preserve">ст.16, ч.1,    п.23 </t>
  </si>
  <si>
    <t>0113, 0503</t>
  </si>
  <si>
    <t>TABLENAME=UTBL_OBJ1000368|FIELDS=D_KA1,D_KA2|VALUES=3000396,3000601</t>
  </si>
  <si>
    <t>TABLENAME=UTBL_OBJ1000368|FIELDS=D_KA1,D_KA2|VALUES=3000396,3000615</t>
  </si>
  <si>
    <t>TABLENAME=UTBL_OBJ1000368|FIELDS=D_KA1,D_KA2|VALUES=3000396,3000616</t>
  </si>
  <si>
    <t>TABLENAME=UTBL_OBJ1000368|FIELDS=D_KA1,D_KA2|VALUES=3000396,3000617</t>
  </si>
  <si>
    <t>TABLENAME=UTBL_OBJ1000368|FIELDS=D_KA1,D_KA2|VALUES=3000396,3000618</t>
  </si>
  <si>
    <t>TABLENAME=UTBL_OBJ1000368|FIELDS=D_KA1,D_KA2|VALUES=3000396,3000619</t>
  </si>
  <si>
    <t>TABLENAME=UTBL_OBJ1000368|FIELDS=D_KA1,D_KA2|VALUES=3000396,3000620</t>
  </si>
  <si>
    <t>TABLENAME=UTBL_OBJ1000368|FIELDS=D_KA1,D_KA2|VALUES=3000396,3000622</t>
  </si>
  <si>
    <t>TABLENAME=UTBL_OBJ1000368|FIELDS=D_KA1,D_KA2|VALUES=3000396,3000623</t>
  </si>
  <si>
    <t>TABLENAME=UTBL_OBJ1000368|FIELDS=D_KA1,D_KA2|VALUES=3000396,3000624</t>
  </si>
  <si>
    <t>TABLENAME=UTBL_OBJ1000368|FIELDS=D_KA1,D_KA2|VALUES=3000396,3000608</t>
  </si>
  <si>
    <t>TABLENAME=UTBL_OBJ1000368|FIELDS=D_KA1,D_KA2|VALUES=3000396,3000609</t>
  </si>
  <si>
    <t>TABLENAME=UTBL_OBJ1000368|FIELDS=D_KA1,D_KA2|VALUES=3000396,3000610</t>
  </si>
  <si>
    <t>TABLENAME=UTBL_OBJ1000368|FIELDS=D_KA1,D_KA2|VALUES=3000396,3000611</t>
  </si>
  <si>
    <t>TABLENAME=UTBL_OBJ1000368|FIELDS=D_KA1,D_KA2|VALUES=3000396,3000613</t>
  </si>
  <si>
    <t>TABLENAME=UTBL_OBJ1000368|FIELDS=D_KA1,D_KA2|VALUES=3000396,3000614</t>
  </si>
  <si>
    <t>TABLENAME=UTBL_OBJ1000368|FIELDS=D_KA1,D_KA2|VALUES=3000396,3000604</t>
  </si>
  <si>
    <t>2.1.40.</t>
  </si>
  <si>
    <r>
      <rPr>
        <b/>
        <sz val="10"/>
        <color indexed="8"/>
        <rFont val="Times New Roman"/>
        <family val="1"/>
      </rPr>
      <t>организация благоустройства территории городского округа</t>
    </r>
    <r>
      <rPr>
        <sz val="10"/>
        <color indexed="8"/>
        <rFont val="Times New Roman"/>
        <family val="1"/>
      </rPr>
      <t xml:space="preserve">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  </r>
  </si>
  <si>
    <t>ст.16, ч.1,    п. 25</t>
  </si>
  <si>
    <t>TABLENAME=UTBL_OBJ1000368|FIELDS=D_KA1,D_KA2|VALUES=3000400,3000601</t>
  </si>
  <si>
    <t>TABLENAME=UTBL_OBJ1000368|FIELDS=D_KA1,D_KA2|VALUES=3000400,3000615</t>
  </si>
  <si>
    <t>TABLENAME=UTBL_OBJ1000368|FIELDS=D_KA1,D_KA2|VALUES=3000400,3000616</t>
  </si>
  <si>
    <t>TABLENAME=UTBL_OBJ1000368|FIELDS=D_KA1,D_KA2|VALUES=3000400,3000617</t>
  </si>
  <si>
    <t>TABLENAME=UTBL_OBJ1000368|FIELDS=D_KA1,D_KA2|VALUES=3000400,3000618</t>
  </si>
  <si>
    <t>TABLENAME=UTBL_OBJ1000368|FIELDS=D_KA1,D_KA2|VALUES=3000400,3000619</t>
  </si>
  <si>
    <t>TABLENAME=UTBL_OBJ1000368|FIELDS=D_KA1,D_KA2|VALUES=3000400,3000620</t>
  </si>
  <si>
    <t>TABLENAME=UTBL_OBJ1000368|FIELDS=D_KA1,D_KA2|VALUES=3000400,3000622</t>
  </si>
  <si>
    <t>TABLENAME=UTBL_OBJ1000368|FIELDS=D_KA1,D_KA2|VALUES=3000400,3000623</t>
  </si>
  <si>
    <t>TABLENAME=UTBL_OBJ1000368|FIELDS=D_KA1,D_KA2|VALUES=3000400,3000624</t>
  </si>
  <si>
    <t>TABLENAME=UTBL_OBJ1000368|FIELDS=D_KA1,D_KA2|VALUES=3000400,3000608</t>
  </si>
  <si>
    <t>TABLENAME=UTBL_OBJ1000368|FIELDS=D_KA1,D_KA2|VALUES=3000400,3000609</t>
  </si>
  <si>
    <t>TABLENAME=UTBL_OBJ1000368|FIELDS=D_KA1,D_KA2|VALUES=3000400,3000610</t>
  </si>
  <si>
    <t>TABLENAME=UTBL_OBJ1000368|FIELDS=D_KA1,D_KA2|VALUES=3000400,3000611</t>
  </si>
  <si>
    <t>TABLENAME=UTBL_OBJ1000368|FIELDS=D_KA1,D_KA2|VALUES=3000400,3000613</t>
  </si>
  <si>
    <t>TABLENAME=UTBL_OBJ1000368|FIELDS=D_KA1,D_KA2|VALUES=3000400,3000614</t>
  </si>
  <si>
    <t>TABLENAME=UTBL_OBJ1000368|FIELDS=D_KA1,D_KA2|VALUES=3000400,3000604</t>
  </si>
  <si>
    <t>2.1.41.</t>
  </si>
  <si>
    <r>
      <rPr>
        <sz val="10"/>
        <color indexed="8"/>
        <rFont val="Times New Roman"/>
        <family val="1"/>
      </rPr>
      <t xml:space="preserve">организация благоустройства территории городского округа в части расходов на осуществление дорожной деятельности, а также </t>
    </r>
    <r>
      <rPr>
        <b/>
        <sz val="10"/>
        <color indexed="8"/>
        <rFont val="Times New Roman"/>
        <family val="1"/>
      </rPr>
      <t xml:space="preserve">расходов на капитальный ремонт и ремонт дворовых территорий многоквартирных домов, проездов к дворовым территориям многоквартирных домов </t>
    </r>
    <r>
      <rPr>
        <sz val="10"/>
        <color indexed="8"/>
        <rFont val="Times New Roman"/>
        <family val="1"/>
      </rPr>
      <t>населенных пунктов, за исключением расходов, осуществляемых за счет средств дорожных фондов</t>
    </r>
  </si>
  <si>
    <t>ст.16, ч.1, п. 5</t>
  </si>
  <si>
    <t>Постановление Администрации г. Обнинска от 30.10.2017 N 1728-п  "Об утверждении муниципальной программы муниципального образования "Город Обнинск" "Формирование современной городской среды в 2018 - 2024 гг."</t>
  </si>
  <si>
    <t xml:space="preserve">Раздел 7 </t>
  </si>
  <si>
    <t xml:space="preserve">09.11.2017-31.12.2024 </t>
  </si>
  <si>
    <t>0409,    0503</t>
  </si>
  <si>
    <t xml:space="preserve"> Постановление Администрации г. Обнинска от 27.10.2014 N 2040-п "Об утверждении муниципальной программы муниципального образования "Город Обнинск" "Благоустройство города Обнинска" </t>
  </si>
  <si>
    <t xml:space="preserve"> 11.11.2014-31.12.2024</t>
  </si>
  <si>
    <t>2.1.42.</t>
  </si>
  <si>
    <t>организация использования, охраны, защиты воспроизводства городских лесов</t>
  </si>
  <si>
    <t>ФЗ от 06.10.2003 №131-ФЗ "Об общих принципах организации местного самоуправления в Российской Федерации"</t>
  </si>
  <si>
    <t>ст.16, ч.1, п.25</t>
  </si>
  <si>
    <t xml:space="preserve"> 11.11.2014 - 31.12.2024</t>
  </si>
  <si>
    <t>0407</t>
  </si>
  <si>
    <t>2.1.43.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</si>
  <si>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ведение информационной системы обеспечения градостроительной деятельности на территории городского округа...</t>
  </si>
  <si>
    <t>ст.16, ч.1, п.26</t>
  </si>
  <si>
    <t>0113    0412</t>
  </si>
  <si>
    <t>TABLENAME=UTBL_OBJ1000368|FIELDS=D_KA1,D_KA2|VALUES=3000401,3000601</t>
  </si>
  <si>
    <t>TABLENAME=UTBL_OBJ1000368|FIELDS=D_KA1,D_KA2|VALUES=3000401,3000615</t>
  </si>
  <si>
    <t>TABLENAME=UTBL_OBJ1000368|FIELDS=D_KA1,D_KA2|VALUES=3000401,3000616</t>
  </si>
  <si>
    <t>TABLENAME=UTBL_OBJ1000368|FIELDS=D_KA1,D_KA2|VALUES=3000401,3000617</t>
  </si>
  <si>
    <t>TABLENAME=UTBL_OBJ1000368|FIELDS=D_KA1,D_KA2|VALUES=3000401,3000618</t>
  </si>
  <si>
    <t>TABLENAME=UTBL_OBJ1000368|FIELDS=D_KA1,D_KA2|VALUES=3000401,3000619</t>
  </si>
  <si>
    <t>TABLENAME=UTBL_OBJ1000368|FIELDS=D_KA1,D_KA2|VALUES=3000401,3000620</t>
  </si>
  <si>
    <t>TABLENAME=UTBL_OBJ1000368|FIELDS=D_KA1,D_KA2|VALUES=3000401,3000622</t>
  </si>
  <si>
    <t>TABLENAME=UTBL_OBJ1000368|FIELDS=D_KA1,D_KA2|VALUES=3000401,3000623</t>
  </si>
  <si>
    <t>TABLENAME=UTBL_OBJ1000368|FIELDS=D_KA1,D_KA2|VALUES=3000401,3000624</t>
  </si>
  <si>
    <t>TABLENAME=UTBL_OBJ1000368|FIELDS=D_KA1,D_KA2|VALUES=3000401,3000608</t>
  </si>
  <si>
    <t>TABLENAME=UTBL_OBJ1000368|FIELDS=D_KA1,D_KA2|VALUES=3000401,3000609</t>
  </si>
  <si>
    <t>TABLENAME=UTBL_OBJ1000368|FIELDS=D_KA1,D_KA2|VALUES=3000401,3000610</t>
  </si>
  <si>
    <t>TABLENAME=UTBL_OBJ1000368|FIELDS=D_KA1,D_KA2|VALUES=3000401,3000611</t>
  </si>
  <si>
    <t>TABLENAME=UTBL_OBJ1000368|FIELDS=D_KA1,D_KA2|VALUES=3000401,3000613</t>
  </si>
  <si>
    <t>TABLENAME=UTBL_OBJ1000368|FIELDS=D_KA1,D_KA2|VALUES=3000401,3000614</t>
  </si>
  <si>
    <t>TABLENAME=UTBL_OBJ1000368|FIELDS=D_KA1,D_KA2|VALUES=3000401,3000604</t>
  </si>
  <si>
    <t>2.1.46.</t>
  </si>
  <si>
    <t>организация и осуществление мероприятий по территориальной обороне и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 и иных средств</t>
  </si>
  <si>
    <t>Ст.16, ч.1, п.28</t>
  </si>
  <si>
    <t xml:space="preserve"> 0310</t>
  </si>
  <si>
    <t>TABLENAME=UTBL_OBJ1000368|FIELDS=D_KA1,D_KA2|VALUES=3000416,3000601</t>
  </si>
  <si>
    <t>TABLENAME=UTBL_OBJ1000368|FIELDS=D_KA1,D_KA2|VALUES=3000416,3000615</t>
  </si>
  <si>
    <t>TABLENAME=UTBL_OBJ1000368|FIELDS=D_KA1,D_KA2|VALUES=3000416,3000616</t>
  </si>
  <si>
    <t>TABLENAME=UTBL_OBJ1000368|FIELDS=D_KA1,D_KA2|VALUES=3000416,3000617</t>
  </si>
  <si>
    <t>TABLENAME=UTBL_OBJ1000368|FIELDS=D_KA1,D_KA2|VALUES=3000416,3000618</t>
  </si>
  <si>
    <t>TABLENAME=UTBL_OBJ1000368|FIELDS=D_KA1,D_KA2|VALUES=3000416,3000619</t>
  </si>
  <si>
    <t>TABLENAME=UTBL_OBJ1000368|FIELDS=D_KA1,D_KA2|VALUES=3000416,3000620</t>
  </si>
  <si>
    <t>TABLENAME=UTBL_OBJ1000368|FIELDS=D_KA1,D_KA2|VALUES=3000416,3000622</t>
  </si>
  <si>
    <t>TABLENAME=UTBL_OBJ1000368|FIELDS=D_KA1,D_KA2|VALUES=3000416,3000623</t>
  </si>
  <si>
    <t>TABLENAME=UTBL_OBJ1000368|FIELDS=D_KA1,D_KA2|VALUES=3000416,3000624</t>
  </si>
  <si>
    <t>TABLENAME=UTBL_OBJ1000368|FIELDS=D_KA1,D_KA2|VALUES=3000416,3000608</t>
  </si>
  <si>
    <t>TABLENAME=UTBL_OBJ1000368|FIELDS=D_KA1,D_KA2|VALUES=3000416,3000609</t>
  </si>
  <si>
    <t>TABLENAME=UTBL_OBJ1000368|FIELDS=D_KA1,D_KA2|VALUES=3000416,3000610</t>
  </si>
  <si>
    <t>TABLENAME=UTBL_OBJ1000368|FIELDS=D_KA1,D_KA2|VALUES=3000416,3000611</t>
  </si>
  <si>
    <t>TABLENAME=UTBL_OBJ1000368|FIELDS=D_KA1,D_KA2|VALUES=3000416,3000613</t>
  </si>
  <si>
    <t>TABLENAME=UTBL_OBJ1000368|FIELDS=D_KA1,D_KA2|VALUES=3000416,3000614</t>
  </si>
  <si>
    <t>TABLENAME=UTBL_OBJ1000368|FIELDS=D_KA1,D_KA2|VALUES=3000416,3000604</t>
  </si>
  <si>
    <t>2.1.52.</t>
  </si>
  <si>
    <t>содействие развитию малого и среднего предпринимательства</t>
  </si>
  <si>
    <t>Федеральный закон от 6 октября 2003 г. № 131-ФЗ (ред. от 14.02.2024) «Об общих принципах организации местного самоуправления в Российской Федерации»</t>
  </si>
  <si>
    <t>Ст.16, ч.1, п.33</t>
  </si>
  <si>
    <t xml:space="preserve">Постановление Администрации г. Обнинска от 24.10.2014 N 1994-п (ред. от 21.12.2023) "Об утверждении муниципальной программы "Содействие развитию малого и среднего предпринимательства и инновационной деятельности в городе Обнинске" </t>
  </si>
  <si>
    <t>0412</t>
  </si>
  <si>
    <t>TABLENAME=UTBL_OBJ1000368|FIELDS=D_KA1,D_KA2|VALUES=3000434,3000601</t>
  </si>
  <si>
    <t>TABLENAME=UTBL_OBJ1000368|FIELDS=D_KA1,D_KA2|VALUES=3000434,3000615</t>
  </si>
  <si>
    <t>TABLENAME=UTBL_OBJ1000368|FIELDS=D_KA1,D_KA2|VALUES=3000434,3000616</t>
  </si>
  <si>
    <t>TABLENAME=UTBL_OBJ1000368|FIELDS=D_KA1,D_KA2|VALUES=3000434,3000617</t>
  </si>
  <si>
    <t>TABLENAME=UTBL_OBJ1000368|FIELDS=D_KA1,D_KA2|VALUES=3000434,3000618</t>
  </si>
  <si>
    <t>TABLENAME=UTBL_OBJ1000368|FIELDS=D_KA1,D_KA2|VALUES=3000434,3000619</t>
  </si>
  <si>
    <t>TABLENAME=UTBL_OBJ1000368|FIELDS=D_KA1,D_KA2|VALUES=3000434,3000620</t>
  </si>
  <si>
    <t>TABLENAME=UTBL_OBJ1000368|FIELDS=D_KA1,D_KA2|VALUES=3000434,3000622</t>
  </si>
  <si>
    <t>TABLENAME=UTBL_OBJ1000368|FIELDS=D_KA1,D_KA2|VALUES=3000434,3000623</t>
  </si>
  <si>
    <t>TABLENAME=UTBL_OBJ1000368|FIELDS=D_KA1,D_KA2|VALUES=3000434,3000624</t>
  </si>
  <si>
    <t>TABLENAME=UTBL_OBJ1000368|FIELDS=D_KA1,D_KA2|VALUES=3000434,3000608</t>
  </si>
  <si>
    <t>TABLENAME=UTBL_OBJ1000368|FIELDS=D_KA1,D_KA2|VALUES=3000434,3000609</t>
  </si>
  <si>
    <t>TABLENAME=UTBL_OBJ1000368|FIELDS=D_KA1,D_KA2|VALUES=3000434,3000610</t>
  </si>
  <si>
    <t>TABLENAME=UTBL_OBJ1000368|FIELDS=D_KA1,D_KA2|VALUES=3000434,3000611</t>
  </si>
  <si>
    <t>TABLENAME=UTBL_OBJ1000368|FIELDS=D_KA1,D_KA2|VALUES=3000434,3000613</t>
  </si>
  <si>
    <t>TABLENAME=UTBL_OBJ1000368|FIELDS=D_KA1,D_KA2|VALUES=3000434,3000614</t>
  </si>
  <si>
    <t>TABLENAME=UTBL_OBJ1000368|FIELDS=D_KA1,D_KA2|VALUES=3000434,3000604</t>
  </si>
  <si>
    <t>2.1.53.</t>
  </si>
  <si>
    <t>оказание поддержки социально ориентированным некоммерческим организациям, благотворительной деятельности и добровольчеству</t>
  </si>
  <si>
    <t xml:space="preserve">0113     </t>
  </si>
  <si>
    <r>
      <rPr>
        <sz val="10"/>
        <color indexed="8"/>
        <rFont val="Times New Roman"/>
        <family val="1"/>
      </rPr>
      <t xml:space="preserve">п.1, пп. </t>
    </r>
    <r>
      <rPr>
        <sz val="11"/>
        <color indexed="8"/>
        <rFont val="Times New Roman"/>
        <family val="1"/>
      </rPr>
      <t>л</t>
    </r>
    <r>
      <rPr>
        <sz val="10"/>
        <color indexed="8"/>
        <rFont val="Times New Roman"/>
        <family val="1"/>
      </rPr>
      <t>)</t>
    </r>
  </si>
  <si>
    <t>2.1.54.</t>
  </si>
  <si>
    <t>организация и осуществление мероприятий по работе с детьми и молодежью в городском округе</t>
  </si>
  <si>
    <t>ФЗ  от 06.010.2003 №131-ФЗ (ред. от 14.02.2024) "Об общих принципах организации местного самоуправления в РФ"</t>
  </si>
  <si>
    <t>Статья 16, ч.1, п.34</t>
  </si>
  <si>
    <t xml:space="preserve">Постановление Администрации города Обнинска от 23.10.2014 №1990-п (ред. от 30.05.2023) "Об утверждении муниципальной программы "Молодёжь города Обнинска" </t>
  </si>
  <si>
    <t>23.10.2014-31.12.2024</t>
  </si>
  <si>
    <t>0707,  0709</t>
  </si>
  <si>
    <t>TABLENAME=UTBL_OBJ1000368|FIELDS=D_KA1,D_KA2|VALUES=3000435,3000601</t>
  </si>
  <si>
    <t>TABLENAME=UTBL_OBJ1000368|FIELDS=D_KA1,D_KA2|VALUES=3000435,3000615</t>
  </si>
  <si>
    <t>TABLENAME=UTBL_OBJ1000368|FIELDS=D_KA1,D_KA2|VALUES=3000435,3000616</t>
  </si>
  <si>
    <t>TABLENAME=UTBL_OBJ1000368|FIELDS=D_KA1,D_KA2|VALUES=3000435,3000617</t>
  </si>
  <si>
    <t>TABLENAME=UTBL_OBJ1000368|FIELDS=D_KA1,D_KA2|VALUES=3000435,3000618</t>
  </si>
  <si>
    <t>TABLENAME=UTBL_OBJ1000368|FIELDS=D_KA1,D_KA2|VALUES=3000435,3000619</t>
  </si>
  <si>
    <t>TABLENAME=UTBL_OBJ1000368|FIELDS=D_KA1,D_KA2|VALUES=3000435,3000620</t>
  </si>
  <si>
    <t>TABLENAME=UTBL_OBJ1000368|FIELDS=D_KA1,D_KA2|VALUES=3000435,3000622</t>
  </si>
  <si>
    <t>TABLENAME=UTBL_OBJ1000368|FIELDS=D_KA1,D_KA2|VALUES=3000435,3000623</t>
  </si>
  <si>
    <t>TABLENAME=UTBL_OBJ1000368|FIELDS=D_KA1,D_KA2|VALUES=3000435,3000624</t>
  </si>
  <si>
    <t>TABLENAME=UTBL_OBJ1000368|FIELDS=D_KA1,D_KA2|VALUES=3000435,3000608</t>
  </si>
  <si>
    <t>TABLENAME=UTBL_OBJ1000368|FIELDS=D_KA1,D_KA2|VALUES=3000435,3000609</t>
  </si>
  <si>
    <t>TABLENAME=UTBL_OBJ1000368|FIELDS=D_KA1,D_KA2|VALUES=3000435,3000610</t>
  </si>
  <si>
    <t>TABLENAME=UTBL_OBJ1000368|FIELDS=D_KA1,D_KA2|VALUES=3000435,3000611</t>
  </si>
  <si>
    <t>TABLENAME=UTBL_OBJ1000368|FIELDS=D_KA1,D_KA2|VALUES=3000435,3000613</t>
  </si>
  <si>
    <t>TABLENAME=UTBL_OBJ1000368|FIELDS=D_KA1,D_KA2|VALUES=3000435,3000614</t>
  </si>
  <si>
    <t>TABLENAME=UTBL_OBJ1000368|FIELDS=D_KA1,D_KA2|VALUES=3000435,3000604</t>
  </si>
  <si>
    <t>06.11.2014 -31.12.2024</t>
  </si>
  <si>
    <t>2.1.56.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</si>
  <si>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</si>
  <si>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Статья 16, ч.1, п.37</t>
  </si>
  <si>
    <t>2.1.60.</t>
  </si>
  <si>
    <t>организация в соответствии с Федеральным законом от 24 июля 2007 года № 221-ФЗ «О государственном кадастре недвижимости» выполнения комплексных кадастровых работ и утверждение карты-плана территории</t>
  </si>
  <si>
    <t>Статья 16, ч.1, п.43</t>
  </si>
  <si>
    <t>2.2.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</si>
  <si>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полномочий органов местного самоуправления городского округа по решению вопросов местного значения</t>
  </si>
  <si>
    <t>2600</t>
  </si>
  <si>
    <t>2.2.1.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</si>
  <si>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</si>
  <si>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ст.17, ч.1</t>
  </si>
  <si>
    <t>Устав муниципального образования "Город Обнинск" (утв. Решением Обнинского городского Собрания от 04.07.2006 N 01-24) (ред. От 25.01.2022)</t>
  </si>
  <si>
    <t>ст.11, п.4  ст. 8, 9, 9.1, 10  ст.11, ст. 37</t>
  </si>
  <si>
    <t>01.08.2006, не установлен</t>
  </si>
  <si>
    <t>0103    0104    0106    0111    0709      0804      1006</t>
  </si>
  <si>
    <t>TABLENAME=UTBL_OBJ1000368|FIELDS=D_KA1,D_KA2|VALUES=3000312,3000601</t>
  </si>
  <si>
    <t>TABLENAME=UTBL_OBJ1000368|FIELDS=D_KA1,D_KA2|VALUES=3000312,3000615</t>
  </si>
  <si>
    <t>TABLENAME=UTBL_OBJ1000368|FIELDS=D_KA1,D_KA2|VALUES=3000312,3000616</t>
  </si>
  <si>
    <t>TABLENAME=UTBL_OBJ1000368|FIELDS=D_KA1,D_KA2|VALUES=3000312,3000617</t>
  </si>
  <si>
    <t>TABLENAME=UTBL_OBJ1000368|FIELDS=D_KA1,D_KA2|VALUES=3000312,3000618</t>
  </si>
  <si>
    <t>TABLENAME=UTBL_OBJ1000368|FIELDS=D_KA1,D_KA2|VALUES=3000312,3000619</t>
  </si>
  <si>
    <t>TABLENAME=UTBL_OBJ1000368|FIELDS=D_KA1,D_KA2|VALUES=3000312,3000620</t>
  </si>
  <si>
    <t>TABLENAME=UTBL_OBJ1000368|FIELDS=D_KA1,D_KA2|VALUES=3000312,3000622</t>
  </si>
  <si>
    <t>TABLENAME=UTBL_OBJ1000368|FIELDS=D_KA1,D_KA2|VALUES=3000312,3000623</t>
  </si>
  <si>
    <t>TABLENAME=UTBL_OBJ1000368|FIELDS=D_KA1,D_KA2|VALUES=3000312,3000624</t>
  </si>
  <si>
    <t>TABLENAME=UTBL_OBJ1000368|FIELDS=D_KA1,D_KA2|VALUES=3000312,3000608</t>
  </si>
  <si>
    <t>TABLENAME=UTBL_OBJ1000368|FIELDS=D_KA1,D_KA2|VALUES=3000312,3000609</t>
  </si>
  <si>
    <t>TABLENAME=UTBL_OBJ1000368|FIELDS=D_KA1,D_KA2|VALUES=3000312,3000610</t>
  </si>
  <si>
    <t>TABLENAME=UTBL_OBJ1000368|FIELDS=D_KA1,D_KA2|VALUES=3000312,3000611</t>
  </si>
  <si>
    <t>TABLENAME=UTBL_OBJ1000368|FIELDS=D_KA1,D_KA2|VALUES=3000312,3000613</t>
  </si>
  <si>
    <t>TABLENAME=UTBL_OBJ1000368|FIELDS=D_KA1,D_KA2|VALUES=3000312,3000614</t>
  </si>
  <si>
    <t>TABLENAME=UTBL_OBJ1000368|FIELDS=D_KA1,D_KA2|VALUES=3000312,3000604</t>
  </si>
  <si>
    <t>Федеральный закон от 07.02.2011 N 6-ФЗ (ред. от 31.07.2023) "Об общих принципах организации и деятельности контрольно-счетных органов субъектов Российской Федерации, федеральных территорий и муниципальных образований"</t>
  </si>
  <si>
    <t>ст. 20, ч. 1  ст. 34, ч. 9</t>
  </si>
  <si>
    <t>Решения Обнинского городского Собрания от 26.04.2022 № 04-27; 16.10.2007 N 04-48; 25.12.2018 N 06-49; 27.09.2011 N 07-24; 21.12.2010 N 10-16</t>
  </si>
  <si>
    <t>2.2.2.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</si>
  <si>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</si>
  <si>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Решение Обнинского городского Собрания от 03.04.2007 № 07-41 (ред. от 25.04.2023)
"Об утверждении Положения "О системе оплаты труда и порядке применения поощрений работников органов местного самоуправления муниципального образования "Город Обнинск"</t>
  </si>
  <si>
    <t>в целом</t>
  </si>
  <si>
    <t xml:space="preserve"> 03.04.2007</t>
  </si>
  <si>
    <t>0103    0104    0106    0709      0804      1006</t>
  </si>
  <si>
    <t>Решение Обнинского городского Собрания от 27.09.2011 N 07-24 (ред. от 01.03.2022) "Об утверждении Положения "О Контрольно-счетной палате муниципального образования "Город Обнинск"</t>
  </si>
  <si>
    <t>ст. 2, 3</t>
  </si>
  <si>
    <t>ст.11, ст. 37</t>
  </si>
  <si>
    <t>2.2.3.</t>
  </si>
  <si>
    <t>обслуживание муниципального долга без учета обслуживания долговых обязательств в части процентов, пеней и штрафных санкций по полученным бюджетным кредитам</t>
  </si>
  <si>
    <t>ст.17, ч.1, п.9</t>
  </si>
  <si>
    <t>1301</t>
  </si>
  <si>
    <t>2.2.4.</t>
  </si>
  <si>
    <t>обслуживание долговых обязательств в части процентов, пеней и штрафных санкций по бюджетным кредитам, полученным из регионального бюджета</t>
  </si>
  <si>
    <t>Договор о предоставлении бюджету муниципального образования "Город Обнинск" бюджетного кредита № 02-04/279-22КФ от 08.07.2022</t>
  </si>
  <si>
    <t>28.10.2021-30.06.2027</t>
  </si>
  <si>
    <t>Договор о предоставлении бюджету муниципального образования "Город Обнинск" бюджетного кредита № 02-04/268-21к от  28.10.2021</t>
  </si>
  <si>
    <t>08.07.2022-25.10.2024</t>
  </si>
  <si>
    <t>2.2.13.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</si>
  <si>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</si>
  <si>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ст.17, ч.1,   п.5</t>
  </si>
  <si>
    <t>Устав муниципального образования "Город Обнинск" (утв. Решением Обнинского городского Собрания от 04.07.2006 N 01-24) (ред. от 28.11.2023)</t>
  </si>
  <si>
    <t>Ст. 9, п.6</t>
  </si>
  <si>
    <t>0107</t>
  </si>
  <si>
    <t>2.2.15.</t>
  </si>
  <si>
    <t>полномочия в сфере стратегического планирования, предусмотренные Федеральным законом от 28 июня 2014 г. № 172-ФЗ (ред. от 17.02.2023) «О стратегическом планировании в Российской Федерации»</t>
  </si>
  <si>
    <t>ст.17, ч.1,   п. 4,4</t>
  </si>
  <si>
    <t>11.11.2014-31.12.2024</t>
  </si>
  <si>
    <t>ФЗ от 28.06.2014 № 172-ФЗ (ред. от 17.02.2023) «О стратегическом планировании в Российской Федерации»</t>
  </si>
  <si>
    <t>ст.6, п.2</t>
  </si>
  <si>
    <t>2.2.17.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</si>
  <si>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</si>
  <si>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ст.17, ч.1, п. 7</t>
  </si>
  <si>
    <t>Ст. 9, п.8</t>
  </si>
  <si>
    <t>1201     1202</t>
  </si>
  <si>
    <t>2.2.19.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</si>
  <si>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</si>
  <si>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Статья 17, ч.1, п.8.1</t>
  </si>
  <si>
    <t>Ст. 9, п. 9.1</t>
  </si>
  <si>
    <t>2.2.20.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</si>
  <si>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</si>
  <si>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Статья 17, ч.1, п.8.2</t>
  </si>
  <si>
    <t xml:space="preserve">Постановление Администрации г. Обнинска от 24.10.2014 N 2028-п (ред. от 29.02.2024) "Об утверждении муниципальной программы "Энергосбережение и повышение энергетической эффективности в муниципальном образовании "Город Обнинск" </t>
  </si>
  <si>
    <t>0501,   0502</t>
  </si>
  <si>
    <t>2.2.23.</t>
  </si>
  <si>
    <t>Предоставление доплаты за выслугу лет к трудовой пенсии муниципальным служащим за счет средств местного бюджета</t>
  </si>
  <si>
    <t>ст.16.1, ч.2. ст.20, п.5, абз.2,3</t>
  </si>
  <si>
    <t>Решение Обнинского городского Собрания от 26.01.2010 N 04-85 (ред. от 27.11.2018) "Об утверждении Положения "О порядке установления, выплаты и перерасчета ежемесячной доплаты к страховой пенсии по старости лицам, замещавшим муниципальные должности и муниципальные должности муниципальной службы в муниципальном образовании "Город Обнинск"</t>
  </si>
  <si>
    <t>п.2</t>
  </si>
  <si>
    <t>1001</t>
  </si>
  <si>
    <t>2.2.24.</t>
  </si>
  <si>
    <t xml:space="preserve">Полномочия по обеспечению обучающихся по образовательным программам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</t>
  </si>
  <si>
    <t>Ст.37,  ч. 2.1</t>
  </si>
  <si>
    <t>Соглашение о предоставлении субсидии из бюджета Калужской области бюджету муниципального образования "Город Обнинск"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 № 29715000-1-2024-005 от 22.01.2024</t>
  </si>
  <si>
    <t>22.01.2024- 31.12.2026</t>
  </si>
  <si>
    <t>2.3.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</si>
  <si>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прав на решение вопросов, не отнесенных к вопросам местного значения</t>
  </si>
  <si>
    <t>2.3.1.</t>
  </si>
  <si>
    <t>по перечню, предусмотренному Федеральным законом от 06.10.2003 № 131-ФЗ (ред. от 14.02.2024) «Об общих принципах организации местного самоуправления в Российской Федерации», всего</t>
  </si>
  <si>
    <t>2.3.1.1.</t>
  </si>
  <si>
    <t>создание музеев городского округа</t>
  </si>
  <si>
    <t>Статья 16.1, ч.1, п.1</t>
  </si>
  <si>
    <t>подраздел 4.3. раздела 4, раздел 5</t>
  </si>
  <si>
    <t xml:space="preserve">Закон "О музейном фонде Российской Федерации и музеях в РФ" от 26.05.1996 №54-ФЗ (ред. от 12.12.2023) </t>
  </si>
  <si>
    <t xml:space="preserve"> ст.18</t>
  </si>
  <si>
    <t>27.05.1996</t>
  </si>
  <si>
    <t>2.3.1.7</t>
  </si>
  <si>
    <t>создание условий для развития туризма</t>
  </si>
  <si>
    <t>Статья 16.1, ч.1, п.9</t>
  </si>
  <si>
    <t>Ст. 8.1, абз.6</t>
  </si>
  <si>
    <t>Постановление Администрации г. Обнинска от 16.09.2014 N 1725-п (ред. от 15.05.2023)</t>
  </si>
  <si>
    <t>2.3.3.</t>
  </si>
  <si>
    <t>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</t>
  </si>
  <si>
    <t>2.3.3.2.</t>
  </si>
  <si>
    <t>Социальные выплаты отдельным категориям граждан</t>
  </si>
  <si>
    <t>Ст. 10, п.1,  абз.2</t>
  </si>
  <si>
    <t>0113,  1002,    1003,    1006</t>
  </si>
  <si>
    <t>социальные выплаты по программе "Социальная поддержка населения г.Обнинска"</t>
  </si>
  <si>
    <t>доплаты работникам соц.сферы (Доверие. Милосердие)</t>
  </si>
  <si>
    <t>Постановление Администрации города Обнинска от 22.12.2021г. № 2980-п "О дополнительных выплатах к заработной плате работникам,проводимых из муниципального бюджета государственным учреждениям социальной сферы"</t>
  </si>
  <si>
    <t>01.01.2023-31.12.2023</t>
  </si>
  <si>
    <t>поднаем жилья педагогам, работникам культуры и работникам спортивных школ</t>
  </si>
  <si>
    <t>Решение Обнинского городского Собрания от 27.09.2016 N 04-18 (ред. от 27.02.2024) "Об утверждении Положения о порядке выплаты денежной компенсации за наем (поднаем) жилых помещений"</t>
  </si>
  <si>
    <t xml:space="preserve">доплаты медицинским работникам государственных учреждений здравоохранения </t>
  </si>
  <si>
    <t>Постановление Администрации города Обнинска от 03.02.2023г. № 211-п "О предоставлении из бюджета муниципального образования "Город Обнинск" в 2023 году гранта в форме субсидии Федеральному государственному бюджетному учреждению здравоохранения "Клиническая больница № 8 Федерального медико-биологического агенства"</t>
  </si>
  <si>
    <t xml:space="preserve">поднаем жилья мед. работникам </t>
  </si>
  <si>
    <t>доплаты работникам соц.сферы (ЦСО)</t>
  </si>
  <si>
    <t>Постановление Администрации от 09.02.2023г. № 268-п "О предоставлении из бюджета муниципального образования "Город Обнинск" гранта в форме субсидии государственному учреждению Калужской области "Обнинский центр социального обслуживания граждан пожилого возраста и инвалидов"</t>
  </si>
  <si>
    <t>мероприятия по здоровому образу жизни и тест-полоски</t>
  </si>
  <si>
    <t>Решение Обнинского городского Собрания от 26.01.2016г. № 02-08 "Об утверждении Положения о порядке выплаты денежной компенсации за приобретение средств контроля уровня сахара в крови (тест-полосок) и расходных материалов для инсулиновых помп"</t>
  </si>
  <si>
    <t>Постановление Администрации г. Обнинска от 27.07.2023 N 1834-п "Об утверждении муниципальной программы муниципального образования "Город Обнинск" "Общественное долголетие"</t>
  </si>
  <si>
    <t>04.08.2023 - 31.12.2029</t>
  </si>
  <si>
    <t>расходы за счет резервного фонда</t>
  </si>
  <si>
    <t>исполнение судебных актов</t>
  </si>
  <si>
    <t>Исполнительные документы Арбитражного суда Калужской области</t>
  </si>
  <si>
    <t>Исполнительные документы Обнинского городского суда</t>
  </si>
  <si>
    <t>2.4.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</si>
  <si>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отдельных государственных полномочий, переданных органами государственной власти Российской Федерации или субъекта Российской Федерации, всего</t>
  </si>
  <si>
    <t>2.4.1.</t>
  </si>
  <si>
    <t>за счет субвенций, предоставленных из федерального бюджета, всего</t>
  </si>
  <si>
    <t>TABLENAME=UTBL_OBJ1000368|FIELDS=D_KA1,D_KA2|VALUES=3000443,3000601</t>
  </si>
  <si>
    <t>TABLENAME=UTBL_OBJ1000368|FIELDS=D_KA1,D_KA2|VALUES=3000443,3000615</t>
  </si>
  <si>
    <t>TABLENAME=UTBL_OBJ1000368|FIELDS=D_KA1,D_KA2|VALUES=3000443,3000616</t>
  </si>
  <si>
    <t>TABLENAME=UTBL_OBJ1000368|FIELDS=D_KA1,D_KA2|VALUES=3000443,3000617</t>
  </si>
  <si>
    <t>TABLENAME=UTBL_OBJ1000368|FIELDS=D_KA1,D_KA2|VALUES=3000443,3000618</t>
  </si>
  <si>
    <t>TABLENAME=UTBL_OBJ1000368|FIELDS=D_KA1,D_KA2|VALUES=3000443,3000619</t>
  </si>
  <si>
    <t>TABLENAME=UTBL_OBJ1000368|FIELDS=D_KA1,D_KA2|VALUES=3000443,3000620</t>
  </si>
  <si>
    <t>TABLENAME=UTBL_OBJ1000368|FIELDS=D_KA1,D_KA2|VALUES=3000443,3000622</t>
  </si>
  <si>
    <t>TABLENAME=UTBL_OBJ1000368|FIELDS=D_KA1,D_KA2|VALUES=3000443,3000623</t>
  </si>
  <si>
    <t>TABLENAME=UTBL_OBJ1000368|FIELDS=D_KA1,D_KA2|VALUES=3000443,3000624</t>
  </si>
  <si>
    <t>TABLENAME=UTBL_OBJ1000368|FIELDS=D_KA1,D_KA2|VALUES=3000443,3000608</t>
  </si>
  <si>
    <t>TABLENAME=UTBL_OBJ1000368|FIELDS=D_KA1,D_KA2|VALUES=3000443,3000609</t>
  </si>
  <si>
    <t>TABLENAME=UTBL_OBJ1000368|FIELDS=D_KA1,D_KA2|VALUES=3000443,3000610</t>
  </si>
  <si>
    <t>TABLENAME=UTBL_OBJ1000368|FIELDS=D_KA1,D_KA2|VALUES=3000443,3000611</t>
  </si>
  <si>
    <t>TABLENAME=UTBL_OBJ1000368|FIELDS=D_KA1,D_KA2|VALUES=3000443,3000613</t>
  </si>
  <si>
    <t>TABLENAME=UTBL_OBJ1000368|FIELDS=D_KA1,D_KA2|VALUES=3000443,3000614</t>
  </si>
  <si>
    <t>TABLENAME=UTBL_OBJ1000368|FIELDS=D_KA1,D_KA2|VALUES=3000443,3000604</t>
  </si>
  <si>
    <t>2.4.1.1.</t>
  </si>
  <si>
    <t>на государственную регистрацию актов гражданского состояния</t>
  </si>
  <si>
    <t>ст.19, ч.5</t>
  </si>
  <si>
    <t>Закон КО №120-ОЗ от 26.09.2005г. "О наделении органов местного самоуправления муниципальных районов и городских округов Калужской области отдельными государственными полномочиями"</t>
  </si>
  <si>
    <t>Статья 1, п.1,пп 10</t>
  </si>
  <si>
    <t>0304</t>
  </si>
  <si>
    <t>Постановление Правительства Российской Федерации от 15 апреля 2014 г. № 312 (ред. от 16.12.2021) «Об утверждении государственной программы Российской Федерации «Юстиция»</t>
  </si>
  <si>
    <t>2.4.1.2.</t>
  </si>
  <si>
    <t>по составлению списков кандидатов в присяжные заседатели</t>
  </si>
  <si>
    <t>0105</t>
  </si>
  <si>
    <t>2.4.1.7</t>
  </si>
  <si>
    <t xml:space="preserve">на оплату жилищно-коммунальных услуг отдельным категориям граждан </t>
  </si>
  <si>
    <t>Закон КО от 26.09.2005г. №120-ОЗ (ред. от 28.11.2023) "О наделении органов местного самоуправления муниципальных районов и городских округов Калужской области отдельными государственными полномочиями"</t>
  </si>
  <si>
    <t>пп 17</t>
  </si>
  <si>
    <t xml:space="preserve">Закон Российской Федерации от 12.01.1995 №5-ФЗ (ред. от 25.12.2023) "О ветеранах" </t>
  </si>
  <si>
    <t>ст.23.2</t>
  </si>
  <si>
    <t>2.4.1.8</t>
  </si>
  <si>
    <t>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</si>
  <si>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пп 24</t>
  </si>
  <si>
    <t>2.4.2.</t>
  </si>
  <si>
    <t>за счет субвенций, предоставленных из бюджета субъекта Российской Федерации, всего</t>
  </si>
  <si>
    <t>2.4.2.1</t>
  </si>
  <si>
    <t>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</si>
  <si>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Статья 1, п.1,пп 4,27</t>
  </si>
  <si>
    <t>0104,     1006</t>
  </si>
  <si>
    <t>2.4.2.2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</si>
  <si>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</si>
  <si>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2.4.2.2.3</t>
  </si>
  <si>
    <t>на формирование и содержание архивных фондов субъекта Российской Федерации</t>
  </si>
  <si>
    <t>3202.3</t>
  </si>
  <si>
    <t>Статья 1, п.1,пп 7</t>
  </si>
  <si>
    <t>0104</t>
  </si>
  <si>
    <t>2.4.2.22</t>
  </si>
  <si>
    <r>
      <rPr>
        <sz val="10"/>
        <color indexed="8"/>
        <rFont val="Times New Roman"/>
        <family val="1"/>
      </rPr>
      <t>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... (</t>
    </r>
    <r>
      <rPr>
        <b/>
        <sz val="10"/>
        <color indexed="8"/>
        <rFont val="Times New Roman"/>
        <family val="1"/>
      </rPr>
      <t>в части начального общего, основного общего, общего образования в частных общеобразовательных организациях в городской местности</t>
    </r>
    <r>
      <rPr>
        <sz val="10"/>
        <color indexed="8"/>
        <rFont val="Times New Roman"/>
        <family val="1"/>
      </rPr>
      <t>)</t>
    </r>
  </si>
  <si>
    <t>3222</t>
  </si>
  <si>
    <t>Статья 1, п.1, пп 28</t>
  </si>
  <si>
    <t>Ст.8, ч.1, п.6</t>
  </si>
  <si>
    <t>Закон Калужской области от 27.12.2006 №272-ОЗ (ред. от 28.12.2023) "Об установлении нормативов"</t>
  </si>
  <si>
    <t>ст.1</t>
  </si>
  <si>
    <t>Соглашение о предоставлении в 2024 году субвенции из областного бюджета бюджету городского округа "Город Обнинск"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находящихся на территории Калужской области, обеспечение дополнительного образования детей в муниципальных общеобразовательных организациях, находящихся на территории Калужской области,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находящихся на территории Калужской области, осуществляющих образовательную деятельность по имеющим государственную аккредитацию основным общеобразовательным программам № 59/26-с от 29.12.2023</t>
  </si>
  <si>
    <t>29.12.2023- 31.12.2024</t>
  </si>
  <si>
    <t>2.4.2.24</t>
  </si>
  <si>
    <r>
      <rPr>
        <sz val="10"/>
        <color indexed="8"/>
        <rFont val="Times New Roman"/>
        <family val="1"/>
      </rPr>
      <t>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общего образования в частных общеобразовательных организациях, ... (</t>
    </r>
    <r>
      <rPr>
        <b/>
        <sz val="10"/>
        <color indexed="8"/>
        <rFont val="Times New Roman"/>
        <family val="1"/>
      </rPr>
      <t>в части дошкольного образования в  частных дошкольных образовательных организациях</t>
    </r>
    <r>
      <rPr>
        <sz val="10"/>
        <color indexed="8"/>
        <rFont val="Times New Roman"/>
        <family val="1"/>
      </rPr>
      <t>,  в частных общеобразовательных организациях)</t>
    </r>
  </si>
  <si>
    <t>3224</t>
  </si>
  <si>
    <t xml:space="preserve">0701  </t>
  </si>
  <si>
    <t>Соглашение о предоставлении в 2024 году субвенции из областного бюджета бюджету городского округа "Город Обнинск"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Калужской области, финансовое обеспечение получения дошкольного образования в частных дошкольных образовательных организациях, находящихся на территории Калужской области  № 60/26-с от 29.12.2023</t>
  </si>
  <si>
    <t>29.12.2023-31.12.2024</t>
  </si>
  <si>
    <t>2.4.2.35</t>
  </si>
  <si>
    <r>
      <rPr>
        <sz val="10"/>
        <color indexed="8"/>
        <rFont val="Times New Roman"/>
        <family val="1"/>
      </rPr>
      <t xml:space="preserve">на социальную поддержку и социальное обслуживание граждан пожилого возраста и инвалидов, граждан, находящихся в трудной жизненной ситуации, … </t>
    </r>
    <r>
      <rPr>
        <b/>
        <sz val="10"/>
        <color indexed="8"/>
        <rFont val="Times New Roman"/>
        <family val="1"/>
      </rPr>
      <t>(в части обеспечения деятельности организаций социального обслуживания субъекта Российской Федерации)</t>
    </r>
  </si>
  <si>
    <t>3235</t>
  </si>
  <si>
    <t>пп 38</t>
  </si>
  <si>
    <t>1002</t>
  </si>
  <si>
    <t>2.4.2.36</t>
  </si>
  <si>
    <r>
      <rPr>
        <sz val="10"/>
        <color indexed="8"/>
        <rFont val="Times New Roman"/>
        <family val="1"/>
      </rPr>
  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родителей, социальную поддержку ветеранов труда, лиц, проработавших в тылу в период ВОВ, семей, имеющих детей, жертв политических репрессий, малоимущих граждан ... иных социальных пособий, ..., в том числе  организацию предоставления гражданам субсидий на оплату жилых помещений и коммунальных услуг (</t>
    </r>
    <r>
      <rPr>
        <b/>
        <sz val="10"/>
        <color indexed="8"/>
        <rFont val="Times New Roman"/>
        <family val="1"/>
      </rPr>
      <t>в части предоставления мер социальной поддержки льготным категориям граждан</t>
    </r>
    <r>
      <rPr>
        <sz val="10"/>
        <color indexed="8"/>
        <rFont val="Times New Roman"/>
        <family val="1"/>
      </rPr>
      <t>)</t>
    </r>
  </si>
  <si>
    <t>Статья 1, п.1</t>
  </si>
  <si>
    <t>1003,   1004,  1006</t>
  </si>
  <si>
    <t>Указ Президента Российской Федерации от 07.05.2012 № 606 (ред. от 13.01.2023) «О мерах по реализации демографической политики Российской Федерации»</t>
  </si>
  <si>
    <t>п. 2</t>
  </si>
  <si>
    <t>Указ Президента Российской Федерации от 07.05.2012 № 600 (ред. от 13.01.2023) «О мерах по обеспечению граждан Российской Федерации доступным и комфортным жильем и повышению качества жилищно-коммунальных услуг»</t>
  </si>
  <si>
    <t>п.2, пп.б), абз.3</t>
  </si>
  <si>
    <t>Постановление Правительства Российской Федерации от 15 апреля 2014 г. № 296 (ред. от 11.12.2023) «Об утверждении государственной программы Российской Федерации «Социальная поддержка граждан»</t>
  </si>
  <si>
    <t>предоставление гражданам субсидий на оплату жилого помещения и коммунальных услуг</t>
  </si>
  <si>
    <t xml:space="preserve"> пп 29</t>
  </si>
  <si>
    <t>обеспечение социальных выплат, пособий, компенсаций детям и семьям с детьми</t>
  </si>
  <si>
    <t>пп 19</t>
  </si>
  <si>
    <t>обеспечение социальных выплат, пособий, компенсаций детям и семьям с детьми (нац. проект)</t>
  </si>
  <si>
    <t>оказание материальной помощи гражданам, находящимся в трудной жизненной ситуации</t>
  </si>
  <si>
    <t xml:space="preserve"> пп 2.</t>
  </si>
  <si>
    <t>1006</t>
  </si>
  <si>
    <t>оказание государственной социальной помощи на основании социального контракта отдельным категориям граждан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</si>
  <si>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</si>
  <si>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пп 2, 4, 6, 15, 16, 18, 20, 21, 22, 23</t>
  </si>
  <si>
    <t xml:space="preserve">осуществление деятельности по образованию патронатных семей для граждан пожилого возраста и инвалидов </t>
  </si>
  <si>
    <t>пп 32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</si>
  <si>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</si>
  <si>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 xml:space="preserve"> пп 19</t>
  </si>
  <si>
    <t xml:space="preserve">осуществление ежемесячных выплат на детей в возрасте от трех до семи лет </t>
  </si>
  <si>
    <t>компенсация отдельным категориям граждан оплаты взноса на капитальный ремонт общего имущества в многоквартирном доме</t>
  </si>
  <si>
    <t>Законом Калужской области от 28.12.2015 N 49-ОЗ (ред. от 26.12.2018) "О предоставлении мер социальной поддержки на уплату взноса на капитальный ремонт"</t>
  </si>
  <si>
    <t xml:space="preserve"> в целом</t>
  </si>
  <si>
    <t>возмещение расходов на установку внутридомового газового оборудования</t>
  </si>
  <si>
    <t xml:space="preserve"> пп 43</t>
  </si>
  <si>
    <t>улучшение жилищных условий многодетных семей</t>
  </si>
  <si>
    <t xml:space="preserve"> пп 42</t>
  </si>
  <si>
    <t>2.4.2.39</t>
  </si>
  <si>
    <t xml:space="preserve">на создание административных комиссий </t>
  </si>
  <si>
    <t>Статья 1, п.1,пп 25</t>
  </si>
  <si>
    <t>2.4.2.51</t>
  </si>
  <si>
    <t>осуществление уведомительной регистрации региональных соглашений, территориальных соглашений и коллективных договоров</t>
  </si>
  <si>
    <t>Статья 1, п.1,пп 41</t>
  </si>
  <si>
    <t>2.4.2.54</t>
  </si>
  <si>
    <t>на организацию проведения мероприятий по отлову и содержанию безнадзорных животных</t>
  </si>
  <si>
    <t>Статья 1, п.1,пп 37</t>
  </si>
  <si>
    <t>2.4.2.98</t>
  </si>
  <si>
    <t>на осуществление полномочий по предметам ведения Российской Федерации, а также совместного ведения по решению вопросов, не указанных в п. 2 ст. 26.3 Федерального закона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</si>
  <si>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>Статья 1, п.1,пп 14</t>
  </si>
  <si>
    <t>0702      1004</t>
  </si>
  <si>
    <t>на выплату компенсации части родительской платы за присмотр и уход за ребенком</t>
  </si>
  <si>
    <t>Соглашение о предоставлении в 2024 году субвенции из областного бюджета бюджету городского округа "Город Обнинск"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 № 63/26-с от 29.12.2023</t>
  </si>
  <si>
    <t>на осуществление ежемесячных денежных выплат работникам муниципальных организаций</t>
  </si>
  <si>
    <t>Соглашение о предоставлении в 2024 году субвенции из областного бюджета бюджету городского округа "Город Обнинск" на финансовое обеспечение ежемесячных денежных выплат работникам муниципальных общеобразовательных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 № 62/26-с от 29.12.2023</t>
  </si>
  <si>
    <t>2.4.3</t>
  </si>
  <si>
    <t>за счет собственных доходов и источников финансирования дефицита бюджета городского округа, всего</t>
  </si>
  <si>
    <t>3300</t>
  </si>
  <si>
    <t>2.4.3.1</t>
  </si>
  <si>
    <t>3301</t>
  </si>
  <si>
    <t>2.5.</t>
  </si>
  <si>
    <t>Расходы на осуществление отдельных государственных полномочий, не переданных, но осуществляемых органами местного самоуправления за счет субвенций из бюджета субъекта Российской Федерации</t>
  </si>
  <si>
    <t>2.5.1.</t>
  </si>
  <si>
    <r>
      <rPr>
        <sz val="10"/>
        <color indexed="8"/>
        <rFont val="Times New Roman"/>
        <family val="1"/>
      </rPr>
      <t>обеспечение государственных гарантий реализации прав на получение общедоступного и бесплатного 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РФ (</t>
    </r>
    <r>
      <rPr>
        <b/>
        <sz val="10"/>
        <color indexed="8"/>
        <rFont val="Times New Roman"/>
        <family val="1"/>
      </rPr>
      <t>в части начального общего, основного общего, общего образования в муниципальных общеобразовательных организациях в городской местности)</t>
    </r>
  </si>
  <si>
    <t>3401</t>
  </si>
  <si>
    <t>Статья 1, п.1,пп 26</t>
  </si>
  <si>
    <t>Ст.8, ч.1, п.3</t>
  </si>
  <si>
    <t>Закон Калужской области от 29.05.2009 №550-ОЗ (ред. от 25.08.2020) "О ежемесячных денежных выплатах отдельным категориям работников образовательных учреждений"</t>
  </si>
  <si>
    <t>ст. 1, 2</t>
  </si>
  <si>
    <t xml:space="preserve"> 01.01.10</t>
  </si>
  <si>
    <t>п.1, пп. а), абз.3, 4</t>
  </si>
  <si>
    <t>2.5.3.</t>
  </si>
  <si>
    <r>
      <rPr>
        <sz val="10"/>
        <color indexed="8"/>
        <rFont val="Times New Roman"/>
        <family val="1"/>
      </rPr>
  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РФ (</t>
    </r>
    <r>
      <rPr>
        <b/>
        <u val="single"/>
        <sz val="10"/>
        <color indexed="8"/>
        <rFont val="Times New Roman"/>
        <family val="1"/>
      </rPr>
      <t>в части дошкольного образования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в  муниципальных дошкольных образовательных организациях и муниципальных общеобразовательных организациях)</t>
    </r>
  </si>
  <si>
    <t>3403</t>
  </si>
  <si>
    <t xml:space="preserve">0701                 </t>
  </si>
  <si>
    <t>Соглашение о предоставлении в 2024 году субвенции из областного бюджета бюджету городского округа "Город Обнинск"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Калужской области, финансовое обеспечение получения дошкольного образования в частных дошкольных образовательных организациях, находящихся на территории Калужской области № 60/26-с от 29.12.2023</t>
  </si>
  <si>
    <t>2.6.</t>
  </si>
  <si>
    <t>Расходные обязательства, возникшие в результате принятия  нормативных правовых актов  городского округа, заключения соглашений, предусматривающих предоставление межбюджетных трансфертов из бюджета городского  округа  другим бюджетам бюджетной системы Российской Федерации</t>
  </si>
  <si>
    <t>TABLENAME=UTBL_OBJ1000368|FIELDS=D_KA1,D_KA2|VALUES=3000648,3000601</t>
  </si>
  <si>
    <t>TABLENAME=UTBL_OBJ1000368|FIELDS=D_KA1,D_KA2|VALUES=3000648,3000615</t>
  </si>
  <si>
    <t>TABLENAME=UTBL_OBJ1000368|FIELDS=D_KA1,D_KA2|VALUES=3000648,3000616</t>
  </si>
  <si>
    <t>TABLENAME=UTBL_OBJ1000368|FIELDS=D_KA1,D_KA2|VALUES=3000648,3000617</t>
  </si>
  <si>
    <t>TABLENAME=UTBL_OBJ1000368|FIELDS=D_KA1,D_KA2|VALUES=3000648,3000618</t>
  </si>
  <si>
    <t>TABLENAME=UTBL_OBJ1000368|FIELDS=D_KA1,D_KA2|VALUES=3000648,3000619</t>
  </si>
  <si>
    <t>TABLENAME=UTBL_OBJ1000368|FIELDS=D_KA1,D_KA2|VALUES=3000648,3000620</t>
  </si>
  <si>
    <t>TABLENAME=UTBL_OBJ1000368|FIELDS=D_KA1,D_KA2|VALUES=3000648,3000622</t>
  </si>
  <si>
    <t>TABLENAME=UTBL_OBJ1000368|FIELDS=D_KA1,D_KA2|VALUES=3000648,3000623</t>
  </si>
  <si>
    <t>TABLENAME=UTBL_OBJ1000368|FIELDS=D_KA1,D_KA2|VALUES=3000648,3000624</t>
  </si>
  <si>
    <t>TABLENAME=UTBL_OBJ1000368|FIELDS=D_KA1,D_KA2|VALUES=3000648,3000608</t>
  </si>
  <si>
    <t>TABLENAME=UTBL_OBJ1000368|FIELDS=D_KA1,D_KA2|VALUES=3000648,3000609</t>
  </si>
  <si>
    <t>TABLENAME=UTBL_OBJ1000368|FIELDS=D_KA1,D_KA2|VALUES=3000648,3000610</t>
  </si>
  <si>
    <t>TABLENAME=UTBL_OBJ1000368|FIELDS=D_KA1,D_KA2|VALUES=3000648,3000611</t>
  </si>
  <si>
    <t>TABLENAME=UTBL_OBJ1000368|FIELDS=D_KA1,D_KA2|VALUES=3000648,3000613</t>
  </si>
  <si>
    <t>TABLENAME=UTBL_OBJ1000368|FIELDS=D_KA1,D_KA2|VALUES=3000648,3000614</t>
  </si>
  <si>
    <t>TABLENAME=UTBL_OBJ1000368|FIELDS=D_KA1,D_KA2|VALUES=3000648,3000604</t>
  </si>
  <si>
    <t>2.6.2.</t>
  </si>
  <si>
    <t>по предоставлению иных межбюджетных трансфертов, всего</t>
  </si>
  <si>
    <t>2.6.2.1</t>
  </si>
  <si>
    <t>в бюджет субъекта</t>
  </si>
  <si>
    <t>3505</t>
  </si>
  <si>
    <t>Соглашение от 14.08.2023 №01-28/254 о предоставлении из бюджета МО "Город Обнинск" Калужской области иного межбюджетного трансферта на реализацию мероприятий, способствующих развитию научно-производственного комплекса наукоградов Российской Федерации (в том числе малых и средних предприятий), а также сохранению и развитию инфраструктуры наукограда Российской Федерации</t>
  </si>
  <si>
    <t>с 14.08.2023 до исполнения обязательств</t>
  </si>
  <si>
    <t>2.7.</t>
  </si>
  <si>
    <t>Условно утвержденные расходы на первый и второй годы планового периода в соответствии с решением о местном бюджете</t>
  </si>
  <si>
    <t>3600</t>
  </si>
  <si>
    <t>ИТОГО расходных обязательств муниципальных образований</t>
  </si>
  <si>
    <t>10700</t>
  </si>
  <si>
    <t>TABLENAME=UTBL_OBJ1000368|FIELDS=D_KA1,D_KA2|VALUES=3000446,3000601</t>
  </si>
  <si>
    <t>TABLENAME=UTBL_OBJ1000368|FIELDS=D_KA1,D_KA2|VALUES=3000446,3000615</t>
  </si>
  <si>
    <t>TABLENAME=UTBL_OBJ1000368|FIELDS=D_KA1,D_KA2|VALUES=3000446,3000616</t>
  </si>
  <si>
    <t>TABLENAME=UTBL_OBJ1000368|FIELDS=D_KA1,D_KA2|VALUES=3000446,3000617</t>
  </si>
  <si>
    <t>TABLENAME=UTBL_OBJ1000368|FIELDS=D_KA1,D_KA2|VALUES=3000446,3000618</t>
  </si>
  <si>
    <t>TABLENAME=UTBL_OBJ1000368|FIELDS=D_KA1,D_KA2|VALUES=3000446,3000619</t>
  </si>
  <si>
    <t>TABLENAME=UTBL_OBJ1000368|FIELDS=D_KA1,D_KA2|VALUES=3000446,3000620</t>
  </si>
  <si>
    <t>TABLENAME=UTBL_OBJ1000368|FIELDS=D_KA1,D_KA2|VALUES=3000446,3000622</t>
  </si>
  <si>
    <t>TABLENAME=UTBL_OBJ1000368|FIELDS=D_KA1,D_KA2|VALUES=3000446,3000623</t>
  </si>
  <si>
    <t>TABLENAME=UTBL_OBJ1000368|FIELDS=D_KA1,D_KA2|VALUES=3000446,3000624</t>
  </si>
  <si>
    <t>TABLENAME=UTBL_OBJ1000368|FIELDS=D_KA1,D_KA2|VALUES=3000446,3000608</t>
  </si>
  <si>
    <t>TABLENAME=UTBL_OBJ1000368|FIELDS=D_KA1,D_KA2|VALUES=3000446,3000609</t>
  </si>
  <si>
    <t>TABLENAME=UTBL_OBJ1000368|FIELDS=D_KA1,D_KA2|VALUES=3000446,3000610</t>
  </si>
  <si>
    <t>TABLENAME=UTBL_OBJ1000368|FIELDS=D_KA1,D_KA2|VALUES=3000446,3000611</t>
  </si>
  <si>
    <t>TABLENAME=UTBL_OBJ1000368|FIELDS=D_KA1,D_KA2|VALUES=3000446,3000613</t>
  </si>
  <si>
    <t>TABLENAME=UTBL_OBJ1000368|FIELDS=D_KA1,D_KA2|VALUES=3000446,3000614</t>
  </si>
  <si>
    <t>TABLENAME=UTBL_OBJ1000368|FIELDS=D_KA1,D_KA2|VALUES=3000446,3000604</t>
  </si>
  <si>
    <r>
      <t>Реестр расходных обязательств муниципального образования "Город Обнинск" на</t>
    </r>
    <r>
      <rPr>
        <b/>
        <i/>
        <sz val="16"/>
        <color indexed="8"/>
        <rFont val="Times New Roman"/>
        <family val="1"/>
      </rPr>
      <t xml:space="preserve"> 2024 год 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</si>
</sst>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dd/mm/yy"/>
  </numFmts>
  <fonts count="9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8"/>
      <color indexed="8"/>
      <name val="Arial"/>
      <family val="0"/>
    </font>
    <font>
      <b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0"/>
    </font>
    <font>
      <b/>
      <sz val="8"/>
      <color indexed="8"/>
      <name val="Arial"/>
      <family val="0"/>
    </font>
    <font>
      <sz val="9"/>
      <name val="Times New Roman"/>
      <family val="1"/>
    </font>
    <font>
      <i/>
      <sz val="10.5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.5"/>
      <name val="Times New Roman"/>
      <family val="1"/>
    </font>
    <font>
      <b/>
      <sz val="8"/>
      <color indexed="10"/>
      <name val="Times New Roman"/>
      <family val="0"/>
    </font>
    <font>
      <b/>
      <i/>
      <sz val="8"/>
      <color indexed="8"/>
      <name val="Arial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.5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name val="Arial"/>
      <family val="0"/>
    </font>
    <font>
      <i/>
      <sz val="8"/>
      <color indexed="8"/>
      <name val="Times New Roman"/>
      <family val="1"/>
    </font>
    <font>
      <i/>
      <sz val="10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8"/>
      <color indexed="8"/>
      <name val="Arial"/>
      <family val="0"/>
    </font>
    <font>
      <i/>
      <sz val="10"/>
      <name val="Arial"/>
      <family val="0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8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.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1" fillId="0" borderId="0">
      <alignment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2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Fill="1">
      <alignment/>
      <protection/>
    </xf>
    <xf numFmtId="0" fontId="3" fillId="0" borderId="0" xfId="33" applyFont="1" applyFill="1">
      <alignment/>
      <protection/>
    </xf>
    <xf numFmtId="0" fontId="2" fillId="0" borderId="0" xfId="33" applyFont="1">
      <alignment/>
      <protection/>
    </xf>
    <xf numFmtId="49" fontId="4" fillId="0" borderId="0" xfId="33" applyNumberFormat="1" applyFont="1" applyFill="1">
      <alignment/>
      <protection/>
    </xf>
    <xf numFmtId="0" fontId="2" fillId="0" borderId="0" xfId="33" applyFont="1" applyFill="1" applyAlignment="1">
      <alignment horizontal="center"/>
      <protection/>
    </xf>
    <xf numFmtId="0" fontId="2" fillId="0" borderId="0" xfId="33" applyFont="1" applyFill="1" applyBorder="1" applyAlignment="1">
      <alignment horizont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" fillId="0" borderId="0" xfId="33" applyFill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wrapText="1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33" applyFont="1" applyFill="1">
      <alignment/>
      <protection/>
    </xf>
    <xf numFmtId="0" fontId="13" fillId="0" borderId="0" xfId="33" applyFont="1" applyFill="1">
      <alignment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64" fontId="15" fillId="0" borderId="11" xfId="0" applyNumberFormat="1" applyFont="1" applyFill="1" applyBorder="1" applyAlignment="1" applyProtection="1">
      <alignment horizontal="center" vertical="center" wrapText="1" shrinkToFit="1"/>
      <protection/>
    </xf>
    <xf numFmtId="164" fontId="15" fillId="0" borderId="10" xfId="0" applyNumberFormat="1" applyFont="1" applyFill="1" applyBorder="1" applyAlignment="1" applyProtection="1">
      <alignment horizontal="center" vertical="center" wrapText="1" shrinkToFit="1"/>
      <protection/>
    </xf>
    <xf numFmtId="164" fontId="15" fillId="0" borderId="15" xfId="0" applyNumberFormat="1" applyFont="1" applyFill="1" applyBorder="1" applyAlignment="1" applyProtection="1">
      <alignment horizontal="center" vertical="center" wrapText="1" shrinkToFi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3" fillId="0" borderId="0" xfId="33" applyFont="1">
      <alignment/>
      <protection/>
    </xf>
    <xf numFmtId="0" fontId="21" fillId="0" borderId="0" xfId="33" applyFont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64" fontId="15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NumberFormat="1" applyFont="1" applyFill="1" applyBorder="1" applyAlignment="1" applyProtection="1">
      <alignment vertical="top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164" fontId="24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2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33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0" xfId="0" applyNumberFormat="1" applyFont="1" applyFill="1" applyBorder="1" applyAlignment="1" applyProtection="1">
      <alignment vertical="top"/>
      <protection/>
    </xf>
    <xf numFmtId="0" fontId="2" fillId="33" borderId="0" xfId="33" applyFont="1" applyFill="1">
      <alignment/>
      <protection/>
    </xf>
    <xf numFmtId="0" fontId="1" fillId="33" borderId="0" xfId="33" applyFill="1">
      <alignment/>
      <protection/>
    </xf>
    <xf numFmtId="0" fontId="16" fillId="0" borderId="10" xfId="0" applyFont="1" applyFill="1" applyBorder="1" applyAlignment="1">
      <alignment horizontal="left" vertical="center" wrapText="1"/>
    </xf>
    <xf numFmtId="165" fontId="1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49" fontId="14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164" fontId="24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2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33" applyFont="1" applyFill="1">
      <alignment/>
      <protection/>
    </xf>
    <xf numFmtId="0" fontId="23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2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164" fontId="27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2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164" fontId="27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7" fillId="0" borderId="10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33" applyFont="1" applyFill="1" applyAlignment="1">
      <alignment horizontal="left" vertical="top"/>
      <protection/>
    </xf>
    <xf numFmtId="0" fontId="1" fillId="0" borderId="0" xfId="33" applyFill="1" applyAlignment="1">
      <alignment horizontal="left" vertical="top"/>
      <protection/>
    </xf>
    <xf numFmtId="164" fontId="24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22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34" borderId="17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2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0" xfId="0" applyNumberFormat="1" applyFont="1" applyFill="1" applyBorder="1" applyAlignment="1" applyProtection="1">
      <alignment vertical="top"/>
      <protection/>
    </xf>
    <xf numFmtId="0" fontId="28" fillId="33" borderId="0" xfId="0" applyNumberFormat="1" applyFont="1" applyFill="1" applyBorder="1" applyAlignment="1" applyProtection="1">
      <alignment vertical="top"/>
      <protection/>
    </xf>
    <xf numFmtId="0" fontId="1" fillId="33" borderId="0" xfId="33" applyFont="1" applyFill="1">
      <alignment/>
      <protection/>
    </xf>
    <xf numFmtId="14" fontId="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0" borderId="11" xfId="0" applyNumberFormat="1" applyFont="1" applyFill="1" applyBorder="1" applyAlignment="1" applyProtection="1">
      <alignment horizontal="center" vertical="center" wrapText="1" shrinkToFit="1"/>
      <protection/>
    </xf>
    <xf numFmtId="164" fontId="1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0" xfId="33" applyFont="1" applyFill="1">
      <alignment/>
      <protection/>
    </xf>
    <xf numFmtId="14" fontId="1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164" fontId="15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3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32" fillId="0" borderId="11" xfId="0" applyNumberFormat="1" applyFont="1" applyFill="1" applyBorder="1" applyAlignment="1" applyProtection="1">
      <alignment horizontal="center" vertical="center" wrapText="1" shrinkToFit="1"/>
      <protection/>
    </xf>
    <xf numFmtId="164" fontId="32" fillId="0" borderId="10" xfId="0" applyNumberFormat="1" applyFont="1" applyFill="1" applyBorder="1" applyAlignment="1" applyProtection="1">
      <alignment horizontal="center" vertical="center" wrapText="1" shrinkToFit="1"/>
      <protection/>
    </xf>
    <xf numFmtId="164" fontId="32" fillId="0" borderId="15" xfId="0" applyNumberFormat="1" applyFont="1" applyFill="1" applyBorder="1" applyAlignment="1" applyProtection="1">
      <alignment horizontal="center" vertical="center" wrapText="1" shrinkToFit="1"/>
      <protection/>
    </xf>
    <xf numFmtId="164" fontId="32" fillId="0" borderId="21" xfId="0" applyNumberFormat="1" applyFont="1" applyFill="1" applyBorder="1" applyAlignment="1" applyProtection="1">
      <alignment horizontal="center" vertical="center" wrapText="1" shrinkToFit="1"/>
      <protection/>
    </xf>
    <xf numFmtId="164" fontId="32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33" fillId="0" borderId="0" xfId="0" applyNumberFormat="1" applyFont="1" applyFill="1" applyBorder="1" applyAlignment="1" applyProtection="1">
      <alignment vertical="top"/>
      <protection/>
    </xf>
    <xf numFmtId="0" fontId="31" fillId="0" borderId="0" xfId="33" applyFont="1" applyFill="1">
      <alignment/>
      <protection/>
    </xf>
    <xf numFmtId="0" fontId="34" fillId="0" borderId="0" xfId="33" applyFont="1" applyFill="1">
      <alignment/>
      <protection/>
    </xf>
    <xf numFmtId="0" fontId="35" fillId="0" borderId="0" xfId="0" applyNumberFormat="1" applyFont="1" applyFill="1" applyBorder="1" applyAlignment="1" applyProtection="1">
      <alignment vertical="top"/>
      <protection/>
    </xf>
    <xf numFmtId="0" fontId="2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2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0" borderId="0" xfId="33" applyFont="1">
      <alignment/>
      <protection/>
    </xf>
    <xf numFmtId="0" fontId="23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36" fillId="0" borderId="0" xfId="33" applyFont="1" applyFill="1">
      <alignment/>
      <protection/>
    </xf>
    <xf numFmtId="164" fontId="36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3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4" borderId="0" xfId="0" applyNumberFormat="1" applyFont="1" applyFill="1" applyBorder="1" applyAlignment="1" applyProtection="1">
      <alignment vertical="top"/>
      <protection/>
    </xf>
    <xf numFmtId="14" fontId="16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4" borderId="0" xfId="0" applyNumberFormat="1" applyFont="1" applyFill="1" applyBorder="1" applyAlignment="1" applyProtection="1">
      <alignment vertical="top"/>
      <protection/>
    </xf>
    <xf numFmtId="0" fontId="2" fillId="34" borderId="0" xfId="33" applyFont="1" applyFill="1">
      <alignment/>
      <protection/>
    </xf>
    <xf numFmtId="0" fontId="1" fillId="34" borderId="0" xfId="33" applyFill="1">
      <alignment/>
      <protection/>
    </xf>
    <xf numFmtId="0" fontId="3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/>
    </xf>
    <xf numFmtId="0" fontId="3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3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64" fontId="3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3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4" fontId="14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64" fontId="2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0" borderId="10" xfId="33" applyFont="1" applyFill="1" applyBorder="1" applyAlignment="1">
      <alignment horizontal="center" vertical="center" wrapText="1"/>
      <protection/>
    </xf>
    <xf numFmtId="14" fontId="3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39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3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2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1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64" fontId="32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0" xfId="33" applyFont="1">
      <alignment/>
      <protection/>
    </xf>
    <xf numFmtId="0" fontId="34" fillId="0" borderId="0" xfId="33" applyFont="1">
      <alignment/>
      <protection/>
    </xf>
    <xf numFmtId="0" fontId="40" fillId="0" borderId="0" xfId="0" applyNumberFormat="1" applyFont="1" applyFill="1" applyBorder="1" applyAlignment="1" applyProtection="1">
      <alignment vertical="top"/>
      <protection/>
    </xf>
    <xf numFmtId="0" fontId="41" fillId="0" borderId="0" xfId="33" applyFont="1">
      <alignment/>
      <protection/>
    </xf>
    <xf numFmtId="0" fontId="40" fillId="33" borderId="0" xfId="0" applyNumberFormat="1" applyFont="1" applyFill="1" applyBorder="1" applyAlignment="1" applyProtection="1">
      <alignment vertical="top"/>
      <protection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3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2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25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35" fillId="33" borderId="0" xfId="0" applyNumberFormat="1" applyFont="1" applyFill="1" applyBorder="1" applyAlignment="1" applyProtection="1">
      <alignment vertical="top"/>
      <protection/>
    </xf>
    <xf numFmtId="0" fontId="36" fillId="33" borderId="0" xfId="33" applyFont="1" applyFill="1">
      <alignment/>
      <protection/>
    </xf>
    <xf numFmtId="0" fontId="41" fillId="33" borderId="0" xfId="33" applyFont="1" applyFill="1">
      <alignment/>
      <protection/>
    </xf>
    <xf numFmtId="0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0" xfId="33" applyFont="1">
      <alignment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164" fontId="42" fillId="0" borderId="10" xfId="0" applyNumberFormat="1" applyFont="1" applyFill="1" applyBorder="1" applyAlignment="1">
      <alignment horizontal="center"/>
    </xf>
    <xf numFmtId="164" fontId="42" fillId="0" borderId="10" xfId="0" applyNumberFormat="1" applyFont="1" applyFill="1" applyBorder="1" applyAlignment="1">
      <alignment/>
    </xf>
    <xf numFmtId="0" fontId="4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64" fontId="3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41" fillId="0" borderId="0" xfId="33" applyFont="1" applyFill="1">
      <alignment/>
      <protection/>
    </xf>
    <xf numFmtId="0" fontId="26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5" fillId="34" borderId="0" xfId="0" applyNumberFormat="1" applyFont="1" applyFill="1" applyBorder="1" applyAlignment="1" applyProtection="1">
      <alignment vertical="top"/>
      <protection/>
    </xf>
    <xf numFmtId="0" fontId="2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26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34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34" borderId="0" xfId="33" applyFont="1" applyFill="1">
      <alignment/>
      <protection/>
    </xf>
    <xf numFmtId="49" fontId="36" fillId="0" borderId="10" xfId="0" applyNumberFormat="1" applyFont="1" applyFill="1" applyBorder="1" applyAlignment="1">
      <alignment horizontal="left" vertical="center" wrapText="1"/>
    </xf>
    <xf numFmtId="0" fontId="3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4" fontId="36" fillId="0" borderId="10" xfId="0" applyNumberFormat="1" applyFont="1" applyFill="1" applyBorder="1" applyAlignment="1">
      <alignment/>
    </xf>
    <xf numFmtId="164" fontId="39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left" vertical="center" wrapText="1"/>
    </xf>
    <xf numFmtId="164" fontId="39" fillId="0" borderId="10" xfId="0" applyNumberFormat="1" applyFont="1" applyFill="1" applyBorder="1" applyAlignment="1">
      <alignment/>
    </xf>
    <xf numFmtId="164" fontId="2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4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49" fontId="3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8" xfId="0" applyNumberFormat="1" applyFont="1" applyFill="1" applyBorder="1" applyAlignment="1" applyProtection="1">
      <alignment horizontal="left" vertical="center" wrapText="1"/>
      <protection/>
    </xf>
    <xf numFmtId="49" fontId="16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33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164" fontId="24" fillId="33" borderId="20" xfId="0" applyNumberFormat="1" applyFont="1" applyFill="1" applyBorder="1" applyAlignment="1" applyProtection="1">
      <alignment horizontal="center" vertical="center" wrapText="1" shrinkToFit="1"/>
      <protection locked="0"/>
    </xf>
    <xf numFmtId="164" fontId="24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33" borderId="10" xfId="0" applyNumberFormat="1" applyFont="1" applyFill="1" applyBorder="1" applyAlignment="1" applyProtection="1">
      <alignment horizontal="left" vertical="center" wrapText="1"/>
      <protection/>
    </xf>
    <xf numFmtId="49" fontId="1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2" fillId="0" borderId="10" xfId="33" applyFont="1" applyFill="1" applyBorder="1" applyAlignment="1">
      <alignment horizontal="center" vertical="center" wrapText="1"/>
      <protection/>
    </xf>
    <xf numFmtId="0" fontId="31" fillId="0" borderId="10" xfId="33" applyFont="1" applyFill="1" applyBorder="1" applyAlignment="1">
      <alignment horizontal="center" vertical="center" wrapText="1"/>
      <protection/>
    </xf>
    <xf numFmtId="49" fontId="31" fillId="0" borderId="10" xfId="33" applyNumberFormat="1" applyFont="1" applyFill="1" applyBorder="1" applyAlignment="1">
      <alignment horizontal="center" vertical="center" wrapText="1"/>
      <protection/>
    </xf>
    <xf numFmtId="0" fontId="31" fillId="0" borderId="15" xfId="33" applyFont="1" applyFill="1" applyBorder="1" applyAlignment="1">
      <alignment horizontal="center" vertical="center" wrapText="1"/>
      <protection/>
    </xf>
    <xf numFmtId="49" fontId="31" fillId="0" borderId="17" xfId="33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7" xfId="33" applyNumberFormat="1" applyFont="1" applyFill="1" applyBorder="1" applyAlignment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5" xfId="33" applyFont="1" applyFill="1" applyBorder="1" applyAlignment="1">
      <alignment horizontal="center" vertical="center" wrapText="1"/>
      <protection/>
    </xf>
    <xf numFmtId="49" fontId="3" fillId="0" borderId="17" xfId="33" applyNumberFormat="1" applyFont="1" applyFill="1" applyBorder="1" applyAlignment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left" vertical="center" wrapText="1"/>
      <protection/>
    </xf>
    <xf numFmtId="49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49" fontId="1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48" fillId="0" borderId="0" xfId="0" applyNumberFormat="1" applyFont="1" applyFill="1" applyBorder="1" applyAlignment="1" applyProtection="1">
      <alignment horizontal="center" vertical="center" wrapText="1" shrinkToFit="1"/>
      <protection/>
    </xf>
    <xf numFmtId="164" fontId="4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49" fontId="14" fillId="0" borderId="0" xfId="0" applyNumberFormat="1" applyFont="1" applyFill="1" applyBorder="1" applyAlignment="1" applyProtection="1">
      <alignment horizontal="center" vertical="top"/>
      <protection/>
    </xf>
    <xf numFmtId="164" fontId="49" fillId="0" borderId="0" xfId="0" applyNumberFormat="1" applyFont="1" applyFill="1" applyBorder="1" applyAlignment="1" applyProtection="1">
      <alignment vertical="top"/>
      <protection/>
    </xf>
    <xf numFmtId="3" fontId="49" fillId="0" borderId="0" xfId="0" applyNumberFormat="1" applyFont="1" applyFill="1" applyBorder="1" applyAlignment="1" applyProtection="1">
      <alignment horizontal="center" vertical="top"/>
      <protection/>
    </xf>
    <xf numFmtId="0" fontId="50" fillId="0" borderId="0" xfId="0" applyNumberFormat="1" applyFont="1" applyFill="1" applyBorder="1" applyAlignment="1" applyProtection="1">
      <alignment vertical="top"/>
      <protection/>
    </xf>
    <xf numFmtId="0" fontId="51" fillId="0" borderId="0" xfId="0" applyNumberFormat="1" applyFont="1" applyFill="1" applyBorder="1" applyAlignment="1" applyProtection="1">
      <alignment vertical="top"/>
      <protection/>
    </xf>
    <xf numFmtId="0" fontId="52" fillId="0" borderId="0" xfId="33" applyFont="1">
      <alignment/>
      <protection/>
    </xf>
    <xf numFmtId="0" fontId="53" fillId="0" borderId="0" xfId="33" applyFont="1" applyFill="1">
      <alignment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49" fontId="14" fillId="0" borderId="0" xfId="0" applyNumberFormat="1" applyFont="1" applyFill="1" applyBorder="1" applyAlignment="1" applyProtection="1">
      <alignment vertical="top"/>
      <protection/>
    </xf>
    <xf numFmtId="164" fontId="16" fillId="0" borderId="0" xfId="0" applyNumberFormat="1" applyFont="1" applyFill="1" applyBorder="1" applyAlignment="1" applyProtection="1">
      <alignment vertical="top"/>
      <protection/>
    </xf>
    <xf numFmtId="164" fontId="16" fillId="0" borderId="0" xfId="0" applyNumberFormat="1" applyFont="1" applyFill="1" applyBorder="1" applyAlignment="1" applyProtection="1">
      <alignment horizontal="center" vertical="top"/>
      <protection/>
    </xf>
    <xf numFmtId="0" fontId="51" fillId="0" borderId="0" xfId="0" applyNumberFormat="1" applyFont="1" applyFill="1" applyBorder="1" applyAlignment="1" applyProtection="1">
      <alignment horizontal="center" vertical="top"/>
      <protection/>
    </xf>
    <xf numFmtId="49" fontId="54" fillId="0" borderId="0" xfId="33" applyNumberFormat="1" applyFont="1" applyFill="1">
      <alignment/>
      <protection/>
    </xf>
    <xf numFmtId="164" fontId="17" fillId="0" borderId="0" xfId="0" applyNumberFormat="1" applyFont="1" applyFill="1" applyBorder="1" applyAlignment="1" applyProtection="1">
      <alignment vertical="top"/>
      <protection/>
    </xf>
    <xf numFmtId="164" fontId="1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5" fontId="2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left" vertical="center" wrapText="1"/>
    </xf>
    <xf numFmtId="14" fontId="1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33" applyFont="1" applyFill="1" applyBorder="1" applyAlignment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2" fillId="0" borderId="15" xfId="33" applyNumberFormat="1" applyFont="1" applyFill="1" applyBorder="1" applyAlignment="1">
      <alignment horizontal="center" vertical="center" wrapText="1"/>
      <protection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2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3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0" borderId="10" xfId="33" applyFont="1" applyFill="1" applyBorder="1" applyAlignment="1">
      <alignment horizontal="center" vertical="center" wrapText="1"/>
      <protection/>
    </xf>
    <xf numFmtId="49" fontId="2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64" fontId="2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2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24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10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left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 shrinkToFi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56"/>
  <sheetViews>
    <sheetView tabSelected="1" view="pageBreakPreview" zoomScale="75" zoomScaleNormal="90" zoomScaleSheetLayoutView="75" zoomScalePageLayoutView="0" workbookViewId="0" topLeftCell="B1">
      <pane xSplit="3" ySplit="7" topLeftCell="G8" activePane="bottomRight" state="frozen"/>
      <selection pane="topLeft" activeCell="B1" sqref="B1"/>
      <selection pane="topRight" activeCell="G1" sqref="G1"/>
      <selection pane="bottomLeft" activeCell="B17" sqref="B17"/>
      <selection pane="bottomRight" activeCell="B2" sqref="B2:AG2"/>
    </sheetView>
  </sheetViews>
  <sheetFormatPr defaultColWidth="9.00390625" defaultRowHeight="12.75"/>
  <cols>
    <col min="1" max="1" width="14.375" style="1" customWidth="1"/>
    <col min="2" max="2" width="9.00390625" style="2" customWidth="1"/>
    <col min="3" max="3" width="39.125" style="3" customWidth="1"/>
    <col min="4" max="4" width="7.00390625" style="2" customWidth="1"/>
    <col min="5" max="5" width="20.25390625" style="2" customWidth="1"/>
    <col min="6" max="6" width="12.375" style="2" customWidth="1"/>
    <col min="7" max="7" width="11.75390625" style="2" customWidth="1"/>
    <col min="8" max="8" width="20.00390625" style="4" customWidth="1"/>
    <col min="9" max="9" width="11.875" style="4" customWidth="1"/>
    <col min="10" max="10" width="11.75390625" style="4" customWidth="1"/>
    <col min="11" max="11" width="20.75390625" style="4" customWidth="1"/>
    <col min="12" max="12" width="12.375" style="4" customWidth="1"/>
    <col min="13" max="13" width="11.875" style="4" customWidth="1"/>
    <col min="14" max="14" width="7.125" style="5" customWidth="1"/>
    <col min="15" max="15" width="11.375" style="2" customWidth="1"/>
    <col min="16" max="20" width="11.375" style="6" customWidth="1"/>
    <col min="21" max="21" width="11.375" style="2" customWidth="1"/>
    <col min="22" max="32" width="11.375" style="6" customWidth="1"/>
    <col min="33" max="33" width="10.875" style="7" customWidth="1"/>
    <col min="34" max="34" width="14.75390625" style="4" customWidth="1"/>
    <col min="35" max="35" width="9.75390625" style="4" customWidth="1"/>
    <col min="36" max="52" width="9.00390625" style="4" hidden="1" customWidth="1"/>
    <col min="53" max="56" width="9.75390625" style="4" customWidth="1"/>
    <col min="57" max="79" width="9.00390625" style="4" customWidth="1"/>
    <col min="80" max="16384" width="9.00390625" style="1" customWidth="1"/>
  </cols>
  <sheetData>
    <row r="2" spans="1:79" s="10" customFormat="1" ht="21" customHeight="1">
      <c r="A2" s="8" t="s">
        <v>0</v>
      </c>
      <c r="B2" s="296" t="s">
        <v>849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s="17" customFormat="1" ht="13.5" customHeight="1">
      <c r="A3" s="11"/>
      <c r="B3" s="12"/>
      <c r="C3" s="297" t="s">
        <v>1</v>
      </c>
      <c r="D3" s="297"/>
      <c r="E3" s="297"/>
      <c r="F3" s="297"/>
      <c r="G3" s="13"/>
      <c r="H3" s="12"/>
      <c r="I3" s="12"/>
      <c r="J3" s="12"/>
      <c r="K3" s="12"/>
      <c r="L3" s="12"/>
      <c r="M3" s="12"/>
      <c r="N3" s="14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17" customFormat="1" ht="1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4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27" customHeight="1">
      <c r="A5" s="8"/>
      <c r="B5" s="298"/>
      <c r="C5" s="299" t="s">
        <v>2</v>
      </c>
      <c r="D5" s="300" t="s">
        <v>3</v>
      </c>
      <c r="E5" s="301" t="s">
        <v>4</v>
      </c>
      <c r="F5" s="301"/>
      <c r="G5" s="301"/>
      <c r="H5" s="301"/>
      <c r="I5" s="301"/>
      <c r="J5" s="301"/>
      <c r="K5" s="301"/>
      <c r="L5" s="301"/>
      <c r="M5" s="301"/>
      <c r="N5" s="302" t="s">
        <v>5</v>
      </c>
      <c r="O5" s="303" t="s">
        <v>6</v>
      </c>
      <c r="P5" s="303"/>
      <c r="Q5" s="303"/>
      <c r="R5" s="303"/>
      <c r="S5" s="303"/>
      <c r="T5" s="303"/>
      <c r="U5" s="304" t="s">
        <v>7</v>
      </c>
      <c r="V5" s="304"/>
      <c r="W5" s="304"/>
      <c r="X5" s="304"/>
      <c r="Y5" s="304"/>
      <c r="Z5" s="304"/>
      <c r="AA5" s="304" t="s">
        <v>8</v>
      </c>
      <c r="AB5" s="304"/>
      <c r="AC5" s="304"/>
      <c r="AD5" s="304"/>
      <c r="AE5" s="304"/>
      <c r="AF5" s="304"/>
      <c r="AG5" s="300" t="s">
        <v>9</v>
      </c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s="10" customFormat="1" ht="26.25" customHeight="1">
      <c r="A6" s="8" t="s">
        <v>10</v>
      </c>
      <c r="B6" s="298"/>
      <c r="C6" s="299"/>
      <c r="D6" s="300"/>
      <c r="E6" s="305" t="s">
        <v>11</v>
      </c>
      <c r="F6" s="305"/>
      <c r="G6" s="305"/>
      <c r="H6" s="301" t="s">
        <v>12</v>
      </c>
      <c r="I6" s="301"/>
      <c r="J6" s="301"/>
      <c r="K6" s="301" t="s">
        <v>13</v>
      </c>
      <c r="L6" s="301"/>
      <c r="M6" s="301"/>
      <c r="N6" s="302"/>
      <c r="O6" s="306" t="s">
        <v>14</v>
      </c>
      <c r="P6" s="306"/>
      <c r="Q6" s="305" t="s">
        <v>15</v>
      </c>
      <c r="R6" s="305" t="s">
        <v>16</v>
      </c>
      <c r="S6" s="307" t="s">
        <v>17</v>
      </c>
      <c r="T6" s="307"/>
      <c r="U6" s="306" t="s">
        <v>14</v>
      </c>
      <c r="V6" s="306"/>
      <c r="W6" s="305" t="s">
        <v>15</v>
      </c>
      <c r="X6" s="305" t="s">
        <v>16</v>
      </c>
      <c r="Y6" s="307" t="s">
        <v>17</v>
      </c>
      <c r="Z6" s="307"/>
      <c r="AA6" s="306" t="s">
        <v>18</v>
      </c>
      <c r="AB6" s="306"/>
      <c r="AC6" s="306"/>
      <c r="AD6" s="301" t="s">
        <v>19</v>
      </c>
      <c r="AE6" s="301"/>
      <c r="AF6" s="301"/>
      <c r="AG6" s="300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79" s="10" customFormat="1" ht="60" customHeight="1">
      <c r="A7" s="8" t="s">
        <v>20</v>
      </c>
      <c r="B7" s="298"/>
      <c r="C7" s="299"/>
      <c r="D7" s="300"/>
      <c r="E7" s="19" t="s">
        <v>21</v>
      </c>
      <c r="F7" s="19" t="s">
        <v>22</v>
      </c>
      <c r="G7" s="19" t="s">
        <v>23</v>
      </c>
      <c r="H7" s="19" t="s">
        <v>21</v>
      </c>
      <c r="I7" s="19" t="s">
        <v>22</v>
      </c>
      <c r="J7" s="21" t="s">
        <v>23</v>
      </c>
      <c r="K7" s="22" t="s">
        <v>21</v>
      </c>
      <c r="L7" s="22" t="s">
        <v>22</v>
      </c>
      <c r="M7" s="21" t="s">
        <v>23</v>
      </c>
      <c r="N7" s="23" t="s">
        <v>24</v>
      </c>
      <c r="O7" s="20" t="s">
        <v>25</v>
      </c>
      <c r="P7" s="19" t="s">
        <v>26</v>
      </c>
      <c r="Q7" s="305"/>
      <c r="R7" s="305"/>
      <c r="S7" s="24" t="s">
        <v>27</v>
      </c>
      <c r="T7" s="25" t="s">
        <v>28</v>
      </c>
      <c r="U7" s="20" t="s">
        <v>25</v>
      </c>
      <c r="V7" s="19" t="s">
        <v>26</v>
      </c>
      <c r="W7" s="305"/>
      <c r="X7" s="305"/>
      <c r="Y7" s="24" t="s">
        <v>27</v>
      </c>
      <c r="Z7" s="25" t="s">
        <v>28</v>
      </c>
      <c r="AA7" s="26" t="s">
        <v>29</v>
      </c>
      <c r="AB7" s="24" t="s">
        <v>30</v>
      </c>
      <c r="AC7" s="27" t="s">
        <v>27</v>
      </c>
      <c r="AD7" s="24" t="s">
        <v>29</v>
      </c>
      <c r="AE7" s="24" t="s">
        <v>30</v>
      </c>
      <c r="AF7" s="28" t="s">
        <v>27</v>
      </c>
      <c r="AG7" s="300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</row>
    <row r="8" spans="1:79" s="42" customFormat="1" ht="68.25" customHeight="1">
      <c r="A8" s="29"/>
      <c r="B8" s="24" t="s">
        <v>31</v>
      </c>
      <c r="C8" s="30" t="s">
        <v>32</v>
      </c>
      <c r="D8" s="31" t="s">
        <v>33</v>
      </c>
      <c r="E8" s="32"/>
      <c r="F8" s="33"/>
      <c r="G8" s="33"/>
      <c r="H8" s="33"/>
      <c r="I8" s="33"/>
      <c r="J8" s="33"/>
      <c r="K8" s="33"/>
      <c r="L8" s="33"/>
      <c r="M8" s="34"/>
      <c r="N8" s="35"/>
      <c r="O8" s="36">
        <f aca="true" t="shared" si="0" ref="O8:AF8">SUM(O9,O58,O78,O97,O139,O147,O150)</f>
        <v>6683730.399999999</v>
      </c>
      <c r="P8" s="37">
        <f t="shared" si="0"/>
        <v>6578984.300000001</v>
      </c>
      <c r="Q8" s="37">
        <f t="shared" si="0"/>
        <v>6428491.799999999</v>
      </c>
      <c r="R8" s="37">
        <f t="shared" si="0"/>
        <v>6527263.6</v>
      </c>
      <c r="S8" s="37">
        <f t="shared" si="0"/>
        <v>5911671.000000001</v>
      </c>
      <c r="T8" s="38">
        <f t="shared" si="0"/>
        <v>5911671.000000001</v>
      </c>
      <c r="U8" s="36">
        <f t="shared" si="0"/>
        <v>6140402.199999999</v>
      </c>
      <c r="V8" s="37">
        <f t="shared" si="0"/>
        <v>6038567.800000001</v>
      </c>
      <c r="W8" s="37">
        <f t="shared" si="0"/>
        <v>5956566.1</v>
      </c>
      <c r="X8" s="37">
        <f t="shared" si="0"/>
        <v>5864207.4</v>
      </c>
      <c r="Y8" s="37">
        <f t="shared" si="0"/>
        <v>5878271.000000001</v>
      </c>
      <c r="Z8" s="38">
        <f t="shared" si="0"/>
        <v>5878271.000000001</v>
      </c>
      <c r="AA8" s="36">
        <f t="shared" si="0"/>
        <v>6426426.899999999</v>
      </c>
      <c r="AB8" s="37">
        <f t="shared" si="0"/>
        <v>6515140.7</v>
      </c>
      <c r="AC8" s="37">
        <f t="shared" si="0"/>
        <v>5885529.000000001</v>
      </c>
      <c r="AD8" s="37">
        <f t="shared" si="0"/>
        <v>5954566.1</v>
      </c>
      <c r="AE8" s="37">
        <f t="shared" si="0"/>
        <v>5852149.4</v>
      </c>
      <c r="AF8" s="39">
        <f t="shared" si="0"/>
        <v>5852129.000000001</v>
      </c>
      <c r="AG8" s="37"/>
      <c r="AH8" s="40"/>
      <c r="AI8" s="40"/>
      <c r="AJ8" s="40" t="s">
        <v>34</v>
      </c>
      <c r="AK8" s="40" t="s">
        <v>35</v>
      </c>
      <c r="AL8" s="40" t="s">
        <v>36</v>
      </c>
      <c r="AM8" s="40" t="s">
        <v>37</v>
      </c>
      <c r="AN8" s="40" t="s">
        <v>38</v>
      </c>
      <c r="AO8" s="40" t="s">
        <v>39</v>
      </c>
      <c r="AP8" s="40" t="s">
        <v>40</v>
      </c>
      <c r="AQ8" s="40" t="s">
        <v>41</v>
      </c>
      <c r="AR8" s="40" t="s">
        <v>42</v>
      </c>
      <c r="AS8" s="40" t="s">
        <v>43</v>
      </c>
      <c r="AT8" s="40" t="s">
        <v>44</v>
      </c>
      <c r="AU8" s="40" t="s">
        <v>45</v>
      </c>
      <c r="AV8" s="40" t="s">
        <v>46</v>
      </c>
      <c r="AW8" s="40" t="s">
        <v>47</v>
      </c>
      <c r="AX8" s="40" t="s">
        <v>48</v>
      </c>
      <c r="AY8" s="40" t="s">
        <v>49</v>
      </c>
      <c r="AZ8" s="40" t="s">
        <v>50</v>
      </c>
      <c r="BA8" s="40"/>
      <c r="BB8" s="40"/>
      <c r="BC8" s="40"/>
      <c r="BD8" s="40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</row>
    <row r="9" spans="1:79" s="42" customFormat="1" ht="72" customHeight="1">
      <c r="A9" s="43"/>
      <c r="B9" s="24" t="s">
        <v>51</v>
      </c>
      <c r="C9" s="30" t="s">
        <v>52</v>
      </c>
      <c r="D9" s="31" t="s">
        <v>53</v>
      </c>
      <c r="E9" s="44"/>
      <c r="F9" s="45"/>
      <c r="G9" s="45"/>
      <c r="H9" s="45"/>
      <c r="I9" s="45"/>
      <c r="J9" s="45"/>
      <c r="K9" s="45"/>
      <c r="L9" s="45"/>
      <c r="M9" s="46"/>
      <c r="N9" s="35"/>
      <c r="O9" s="37">
        <f aca="true" t="shared" si="1" ref="O9:Z9">SUM(O10,O11,O13,O15,O19,O20,O21,O22,O23,O26,O28,O30,O31,O33,O35,O38,O40,O41,O42,O43,O44,O47,O48,O49,O50,O51,O53,O55,O57)</f>
        <v>3820923</v>
      </c>
      <c r="P9" s="37">
        <f t="shared" si="1"/>
        <v>3758740.8000000007</v>
      </c>
      <c r="Q9" s="37">
        <f t="shared" si="1"/>
        <v>3504365.9999999995</v>
      </c>
      <c r="R9" s="37">
        <f t="shared" si="1"/>
        <v>3539187.1</v>
      </c>
      <c r="S9" s="37">
        <f t="shared" si="1"/>
        <v>2848647.8000000003</v>
      </c>
      <c r="T9" s="47">
        <f t="shared" si="1"/>
        <v>2848647.8000000003</v>
      </c>
      <c r="U9" s="47">
        <f t="shared" si="1"/>
        <v>3279158.599999999</v>
      </c>
      <c r="V9" s="37">
        <f t="shared" si="1"/>
        <v>3219888.100000001</v>
      </c>
      <c r="W9" s="37">
        <f t="shared" si="1"/>
        <v>3034440.3</v>
      </c>
      <c r="X9" s="37">
        <f t="shared" si="1"/>
        <v>2878130.9</v>
      </c>
      <c r="Y9" s="37">
        <f t="shared" si="1"/>
        <v>2817247.8000000003</v>
      </c>
      <c r="Z9" s="47">
        <f t="shared" si="1"/>
        <v>2817247.8000000003</v>
      </c>
      <c r="AA9" s="47">
        <f aca="true" t="shared" si="2" ref="AA9:AF9">SUM(AA10,AA11,AA13,AA15,AA19,AA20,AA21,AA22,AA23,AA26,AA28,AA30,AA31,AA33,AA35,AA38,AA40,AA41,AA42,AA43,AA44,AA48,AA49,AA50,AA51,AA53,AA55,AA57)</f>
        <v>3502365.9999999995</v>
      </c>
      <c r="AB9" s="37">
        <f t="shared" si="2"/>
        <v>3537187.1</v>
      </c>
      <c r="AC9" s="37">
        <f t="shared" si="2"/>
        <v>2846647.8000000003</v>
      </c>
      <c r="AD9" s="37">
        <f t="shared" si="2"/>
        <v>3032440.3</v>
      </c>
      <c r="AE9" s="37">
        <f t="shared" si="2"/>
        <v>2876130.9</v>
      </c>
      <c r="AF9" s="37">
        <f t="shared" si="2"/>
        <v>2815247.8000000003</v>
      </c>
      <c r="AG9" s="37"/>
      <c r="AH9" s="48"/>
      <c r="AI9" s="48"/>
      <c r="AJ9" s="48" t="s">
        <v>54</v>
      </c>
      <c r="AK9" s="48" t="s">
        <v>55</v>
      </c>
      <c r="AL9" s="48" t="s">
        <v>56</v>
      </c>
      <c r="AM9" s="48" t="s">
        <v>57</v>
      </c>
      <c r="AN9" s="48" t="s">
        <v>58</v>
      </c>
      <c r="AO9" s="48" t="s">
        <v>59</v>
      </c>
      <c r="AP9" s="48" t="s">
        <v>60</v>
      </c>
      <c r="AQ9" s="48" t="s">
        <v>61</v>
      </c>
      <c r="AR9" s="48" t="s">
        <v>62</v>
      </c>
      <c r="AS9" s="48" t="s">
        <v>63</v>
      </c>
      <c r="AT9" s="48" t="s">
        <v>64</v>
      </c>
      <c r="AU9" s="48" t="s">
        <v>65</v>
      </c>
      <c r="AV9" s="48" t="s">
        <v>66</v>
      </c>
      <c r="AW9" s="48" t="s">
        <v>67</v>
      </c>
      <c r="AX9" s="48" t="s">
        <v>68</v>
      </c>
      <c r="AY9" s="48" t="s">
        <v>69</v>
      </c>
      <c r="AZ9" s="48" t="s">
        <v>70</v>
      </c>
      <c r="BA9" s="48"/>
      <c r="BB9" s="48"/>
      <c r="BC9" s="48"/>
      <c r="BD9" s="48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</row>
    <row r="10" spans="1:56" ht="178.5">
      <c r="A10" s="8"/>
      <c r="B10" s="49" t="s">
        <v>71</v>
      </c>
      <c r="C10" s="50" t="s">
        <v>72</v>
      </c>
      <c r="D10" s="51">
        <v>2504</v>
      </c>
      <c r="E10" s="44" t="s">
        <v>73</v>
      </c>
      <c r="F10" s="52" t="s">
        <v>74</v>
      </c>
      <c r="G10" s="52" t="s">
        <v>75</v>
      </c>
      <c r="H10" s="52"/>
      <c r="I10" s="52"/>
      <c r="J10" s="52"/>
      <c r="K10" s="52" t="s">
        <v>76</v>
      </c>
      <c r="L10" s="52" t="s">
        <v>77</v>
      </c>
      <c r="M10" s="53" t="s">
        <v>78</v>
      </c>
      <c r="N10" s="54" t="s">
        <v>79</v>
      </c>
      <c r="O10" s="55">
        <f>620.3+190+1030+2013.3+118</f>
        <v>3971.6</v>
      </c>
      <c r="P10" s="56">
        <f>620.3+165.5+881.8+2013.3+111.5</f>
        <v>3792.3999999999996</v>
      </c>
      <c r="Q10" s="56">
        <f>300+9162.6+48319.8</f>
        <v>57782.4</v>
      </c>
      <c r="R10" s="56">
        <f>300+1250</f>
        <v>1550</v>
      </c>
      <c r="S10" s="56">
        <f>300+1250</f>
        <v>1550</v>
      </c>
      <c r="T10" s="56">
        <f>300+1250</f>
        <v>1550</v>
      </c>
      <c r="U10" s="55">
        <f>620.3+190+1030+2013.3+118</f>
        <v>3971.6</v>
      </c>
      <c r="V10" s="56">
        <f>620.3+165.5+881.8+2013.3+111.5</f>
        <v>3792.3999999999996</v>
      </c>
      <c r="W10" s="56">
        <f>300+9162.6+48319.8</f>
        <v>57782.4</v>
      </c>
      <c r="X10" s="56">
        <f>300+1250</f>
        <v>1550</v>
      </c>
      <c r="Y10" s="56">
        <f>300+1250</f>
        <v>1550</v>
      </c>
      <c r="Z10" s="56">
        <f>300+1250</f>
        <v>1550</v>
      </c>
      <c r="AA10" s="55">
        <f aca="true" t="shared" si="3" ref="AA10:AA15">Q10</f>
        <v>57782.4</v>
      </c>
      <c r="AB10" s="56">
        <f>R10</f>
        <v>1550</v>
      </c>
      <c r="AC10" s="56">
        <f>S10</f>
        <v>1550</v>
      </c>
      <c r="AD10" s="56">
        <f>W10</f>
        <v>57782.4</v>
      </c>
      <c r="AE10" s="56">
        <f>X10</f>
        <v>1550</v>
      </c>
      <c r="AF10" s="57">
        <f>Y10</f>
        <v>1550</v>
      </c>
      <c r="AG10" s="56" t="s">
        <v>80</v>
      </c>
      <c r="AH10" s="9"/>
      <c r="AI10" s="9"/>
      <c r="AJ10" s="9" t="s">
        <v>81</v>
      </c>
      <c r="AK10" s="9" t="s">
        <v>82</v>
      </c>
      <c r="AL10" s="9" t="s">
        <v>83</v>
      </c>
      <c r="AM10" s="9" t="s">
        <v>84</v>
      </c>
      <c r="AN10" s="9" t="s">
        <v>85</v>
      </c>
      <c r="AO10" s="9" t="s">
        <v>86</v>
      </c>
      <c r="AP10" s="9" t="s">
        <v>87</v>
      </c>
      <c r="AQ10" s="9" t="s">
        <v>88</v>
      </c>
      <c r="AR10" s="9" t="s">
        <v>89</v>
      </c>
      <c r="AS10" s="9" t="s">
        <v>90</v>
      </c>
      <c r="AT10" s="9" t="s">
        <v>91</v>
      </c>
      <c r="AU10" s="9" t="s">
        <v>92</v>
      </c>
      <c r="AV10" s="9" t="s">
        <v>93</v>
      </c>
      <c r="AW10" s="9" t="s">
        <v>94</v>
      </c>
      <c r="AX10" s="9" t="s">
        <v>95</v>
      </c>
      <c r="AY10" s="9" t="s">
        <v>96</v>
      </c>
      <c r="AZ10" s="9" t="s">
        <v>97</v>
      </c>
      <c r="BA10" s="9"/>
      <c r="BB10" s="9"/>
      <c r="BC10" s="9"/>
      <c r="BD10" s="9"/>
    </row>
    <row r="11" spans="1:79" s="10" customFormat="1" ht="140.25">
      <c r="A11" s="8"/>
      <c r="B11" s="49" t="s">
        <v>98</v>
      </c>
      <c r="C11" s="50" t="s">
        <v>99</v>
      </c>
      <c r="D11" s="51">
        <v>2505</v>
      </c>
      <c r="E11" s="44" t="s">
        <v>73</v>
      </c>
      <c r="F11" s="52" t="s">
        <v>100</v>
      </c>
      <c r="G11" s="58">
        <v>37900</v>
      </c>
      <c r="H11" s="52"/>
      <c r="I11" s="52"/>
      <c r="J11" s="52"/>
      <c r="K11" s="52" t="s">
        <v>101</v>
      </c>
      <c r="L11" s="52" t="s">
        <v>77</v>
      </c>
      <c r="M11" s="53" t="s">
        <v>102</v>
      </c>
      <c r="N11" s="54" t="s">
        <v>103</v>
      </c>
      <c r="O11" s="55">
        <f>4852.9+166502.3</f>
        <v>171355.19999999998</v>
      </c>
      <c r="P11" s="56">
        <f>4590+163955.9</f>
        <v>168545.9</v>
      </c>
      <c r="Q11" s="56">
        <f>5000+258335.2</f>
        <v>263335.2</v>
      </c>
      <c r="R11" s="56">
        <f>5500+267352.1</f>
        <v>272852.1</v>
      </c>
      <c r="S11" s="56">
        <v>5500</v>
      </c>
      <c r="T11" s="56">
        <v>5500</v>
      </c>
      <c r="U11" s="55">
        <f>4852.9+166502.3-146502.3</f>
        <v>24852.899999999994</v>
      </c>
      <c r="V11" s="56">
        <f>4590+163955.9-143955.9</f>
        <v>24590</v>
      </c>
      <c r="W11" s="56">
        <f>5000+258335.2-69376.8-150000</f>
        <v>43958.40000000002</v>
      </c>
      <c r="X11" s="56">
        <f>5500+267352.1-57352.1-200000</f>
        <v>15499.99999999997</v>
      </c>
      <c r="Y11" s="56">
        <v>5500</v>
      </c>
      <c r="Z11" s="56">
        <v>5500</v>
      </c>
      <c r="AA11" s="55">
        <f t="shared" si="3"/>
        <v>263335.2</v>
      </c>
      <c r="AB11" s="56">
        <f>R11</f>
        <v>272852.1</v>
      </c>
      <c r="AC11" s="56">
        <f>S11</f>
        <v>5500</v>
      </c>
      <c r="AD11" s="56">
        <f>W11</f>
        <v>43958.40000000002</v>
      </c>
      <c r="AE11" s="56">
        <f>X11</f>
        <v>15499.99999999997</v>
      </c>
      <c r="AF11" s="57">
        <f>Y11</f>
        <v>5500</v>
      </c>
      <c r="AG11" s="56" t="s">
        <v>80</v>
      </c>
      <c r="AH11" s="9"/>
      <c r="AI11" s="9"/>
      <c r="AJ11" s="9" t="s">
        <v>104</v>
      </c>
      <c r="AK11" s="9" t="s">
        <v>105</v>
      </c>
      <c r="AL11" s="9" t="s">
        <v>106</v>
      </c>
      <c r="AM11" s="9" t="s">
        <v>107</v>
      </c>
      <c r="AN11" s="9" t="s">
        <v>108</v>
      </c>
      <c r="AO11" s="9" t="s">
        <v>109</v>
      </c>
      <c r="AP11" s="9" t="s">
        <v>110</v>
      </c>
      <c r="AQ11" s="9" t="s">
        <v>111</v>
      </c>
      <c r="AR11" s="9" t="s">
        <v>112</v>
      </c>
      <c r="AS11" s="9" t="s">
        <v>113</v>
      </c>
      <c r="AT11" s="9" t="s">
        <v>114</v>
      </c>
      <c r="AU11" s="9" t="s">
        <v>115</v>
      </c>
      <c r="AV11" s="9" t="s">
        <v>116</v>
      </c>
      <c r="AW11" s="9" t="s">
        <v>117</v>
      </c>
      <c r="AX11" s="9" t="s">
        <v>118</v>
      </c>
      <c r="AY11" s="9" t="s">
        <v>119</v>
      </c>
      <c r="AZ11" s="9" t="s">
        <v>120</v>
      </c>
      <c r="BA11" s="9"/>
      <c r="BB11" s="9"/>
      <c r="BC11" s="9"/>
      <c r="BD11" s="9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</row>
    <row r="12" spans="1:79" s="74" customFormat="1" ht="146.25" customHeight="1">
      <c r="A12" s="59"/>
      <c r="B12" s="60"/>
      <c r="C12" s="61"/>
      <c r="D12" s="60"/>
      <c r="E12" s="62" t="s">
        <v>121</v>
      </c>
      <c r="F12" s="63"/>
      <c r="G12" s="64"/>
      <c r="H12" s="63"/>
      <c r="I12" s="63"/>
      <c r="J12" s="63"/>
      <c r="K12" s="63"/>
      <c r="L12" s="63"/>
      <c r="M12" s="65"/>
      <c r="N12" s="66" t="s">
        <v>122</v>
      </c>
      <c r="O12" s="67">
        <v>100814.7</v>
      </c>
      <c r="P12" s="68">
        <v>100814.7</v>
      </c>
      <c r="Q12" s="68">
        <v>57352.1</v>
      </c>
      <c r="R12" s="68">
        <v>57352.1</v>
      </c>
      <c r="S12" s="68"/>
      <c r="T12" s="68"/>
      <c r="U12" s="67"/>
      <c r="V12" s="68"/>
      <c r="W12" s="68"/>
      <c r="X12" s="68"/>
      <c r="Y12" s="68"/>
      <c r="Z12" s="68"/>
      <c r="AA12" s="69">
        <f t="shared" si="3"/>
        <v>57352.1</v>
      </c>
      <c r="AB12" s="70">
        <f>R12</f>
        <v>57352.1</v>
      </c>
      <c r="AC12" s="70"/>
      <c r="AD12" s="70"/>
      <c r="AE12" s="70"/>
      <c r="AF12" s="71"/>
      <c r="AG12" s="68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</row>
    <row r="13" spans="1:79" s="10" customFormat="1" ht="140.25">
      <c r="A13" s="8"/>
      <c r="B13" s="49" t="s">
        <v>123</v>
      </c>
      <c r="C13" s="75" t="s">
        <v>124</v>
      </c>
      <c r="D13" s="49">
        <v>2507</v>
      </c>
      <c r="E13" s="44" t="s">
        <v>73</v>
      </c>
      <c r="F13" s="52" t="s">
        <v>125</v>
      </c>
      <c r="G13" s="58">
        <v>37900</v>
      </c>
      <c r="H13" s="52"/>
      <c r="I13" s="52"/>
      <c r="J13" s="52"/>
      <c r="K13" s="52" t="s">
        <v>126</v>
      </c>
      <c r="L13" s="52" t="s">
        <v>127</v>
      </c>
      <c r="M13" s="58">
        <v>41813</v>
      </c>
      <c r="N13" s="54" t="s">
        <v>128</v>
      </c>
      <c r="O13" s="55">
        <v>928649.7</v>
      </c>
      <c r="P13" s="56">
        <v>928315.3</v>
      </c>
      <c r="Q13" s="56">
        <f>663235.2-690.4</f>
        <v>662544.7999999999</v>
      </c>
      <c r="R13" s="56">
        <v>400500</v>
      </c>
      <c r="S13" s="56">
        <v>423200</v>
      </c>
      <c r="T13" s="56">
        <v>423200</v>
      </c>
      <c r="U13" s="55">
        <f>928649.7-347286.1</f>
        <v>581363.6</v>
      </c>
      <c r="V13" s="56">
        <f>928315.3-347034</f>
        <v>581281.3</v>
      </c>
      <c r="W13" s="56">
        <f>663235.2-690.4-236589.2</f>
        <v>425955.5999999999</v>
      </c>
      <c r="X13" s="56">
        <f>400500-10000</f>
        <v>390500</v>
      </c>
      <c r="Y13" s="56">
        <f>423200-20400</f>
        <v>402800</v>
      </c>
      <c r="Z13" s="56">
        <f>423200-20400</f>
        <v>402800</v>
      </c>
      <c r="AA13" s="55">
        <f t="shared" si="3"/>
        <v>662544.7999999999</v>
      </c>
      <c r="AB13" s="56">
        <f>R13</f>
        <v>400500</v>
      </c>
      <c r="AC13" s="56">
        <f>S13</f>
        <v>423200</v>
      </c>
      <c r="AD13" s="56">
        <f>W13</f>
        <v>425955.5999999999</v>
      </c>
      <c r="AE13" s="56">
        <f>X13</f>
        <v>390500</v>
      </c>
      <c r="AF13" s="57">
        <f>Y13</f>
        <v>402800</v>
      </c>
      <c r="AG13" s="56" t="s">
        <v>80</v>
      </c>
      <c r="AH13" s="9"/>
      <c r="AI13" s="9"/>
      <c r="AJ13" s="9" t="s">
        <v>129</v>
      </c>
      <c r="AK13" s="9" t="s">
        <v>130</v>
      </c>
      <c r="AL13" s="9" t="s">
        <v>131</v>
      </c>
      <c r="AM13" s="9" t="s">
        <v>132</v>
      </c>
      <c r="AN13" s="9" t="s">
        <v>133</v>
      </c>
      <c r="AO13" s="9" t="s">
        <v>134</v>
      </c>
      <c r="AP13" s="9" t="s">
        <v>135</v>
      </c>
      <c r="AQ13" s="9" t="s">
        <v>136</v>
      </c>
      <c r="AR13" s="9" t="s">
        <v>137</v>
      </c>
      <c r="AS13" s="9" t="s">
        <v>138</v>
      </c>
      <c r="AT13" s="9" t="s">
        <v>139</v>
      </c>
      <c r="AU13" s="9" t="s">
        <v>140</v>
      </c>
      <c r="AV13" s="9" t="s">
        <v>141</v>
      </c>
      <c r="AW13" s="9" t="s">
        <v>142</v>
      </c>
      <c r="AX13" s="9" t="s">
        <v>143</v>
      </c>
      <c r="AY13" s="9" t="s">
        <v>144</v>
      </c>
      <c r="AZ13" s="9" t="s">
        <v>145</v>
      </c>
      <c r="BA13" s="9"/>
      <c r="BB13" s="9"/>
      <c r="BC13" s="9"/>
      <c r="BD13" s="9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s="74" customFormat="1" ht="147" customHeight="1">
      <c r="A14" s="59"/>
      <c r="B14" s="60"/>
      <c r="C14" s="61"/>
      <c r="D14" s="60"/>
      <c r="E14" s="62" t="s">
        <v>121</v>
      </c>
      <c r="F14" s="63"/>
      <c r="G14" s="64"/>
      <c r="H14" s="63"/>
      <c r="I14" s="63"/>
      <c r="J14" s="63"/>
      <c r="K14" s="63"/>
      <c r="L14" s="63"/>
      <c r="M14" s="65"/>
      <c r="N14" s="66" t="s">
        <v>146</v>
      </c>
      <c r="O14" s="67">
        <v>299898.6</v>
      </c>
      <c r="P14" s="68">
        <v>299898.6</v>
      </c>
      <c r="Q14" s="68">
        <v>228359.9</v>
      </c>
      <c r="R14" s="68"/>
      <c r="S14" s="68"/>
      <c r="T14" s="68"/>
      <c r="U14" s="67"/>
      <c r="V14" s="68"/>
      <c r="W14" s="68"/>
      <c r="X14" s="68"/>
      <c r="Y14" s="68"/>
      <c r="Z14" s="68"/>
      <c r="AA14" s="69">
        <f t="shared" si="3"/>
        <v>228359.9</v>
      </c>
      <c r="AB14" s="70"/>
      <c r="AC14" s="70"/>
      <c r="AD14" s="70"/>
      <c r="AE14" s="70"/>
      <c r="AF14" s="71"/>
      <c r="AG14" s="68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</row>
    <row r="15" spans="1:79" s="10" customFormat="1" ht="153" customHeight="1">
      <c r="A15" s="8"/>
      <c r="B15" s="308" t="s">
        <v>147</v>
      </c>
      <c r="C15" s="309" t="s">
        <v>148</v>
      </c>
      <c r="D15" s="310">
        <v>2508</v>
      </c>
      <c r="E15" s="311" t="s">
        <v>73</v>
      </c>
      <c r="F15" s="312" t="s">
        <v>149</v>
      </c>
      <c r="G15" s="313">
        <v>37900</v>
      </c>
      <c r="H15" s="312"/>
      <c r="I15" s="312"/>
      <c r="J15" s="312"/>
      <c r="K15" s="52" t="s">
        <v>150</v>
      </c>
      <c r="L15" s="52" t="s">
        <v>151</v>
      </c>
      <c r="M15" s="76" t="s">
        <v>152</v>
      </c>
      <c r="N15" s="314" t="s">
        <v>153</v>
      </c>
      <c r="O15" s="315">
        <f>11041.2+68081+15978.8</f>
        <v>95101</v>
      </c>
      <c r="P15" s="316">
        <f>11026.7+68081+15565.1</f>
        <v>94672.8</v>
      </c>
      <c r="Q15" s="316">
        <f>11000+57761.9+15217.3</f>
        <v>83979.2</v>
      </c>
      <c r="R15" s="316">
        <f>11000+58200+16600</f>
        <v>85800</v>
      </c>
      <c r="S15" s="316">
        <f>11000+58200+16600</f>
        <v>85800</v>
      </c>
      <c r="T15" s="316">
        <f>11000+58200+16600</f>
        <v>85800</v>
      </c>
      <c r="U15" s="315">
        <f>11041.2+68081+15978.8-74</f>
        <v>95027</v>
      </c>
      <c r="V15" s="316">
        <f>11026.7+68081+15565.1-74</f>
        <v>94598.8</v>
      </c>
      <c r="W15" s="316">
        <f>11000+57761.9+15217.3-500</f>
        <v>83479.2</v>
      </c>
      <c r="X15" s="316">
        <f>11000+58200+16600-1000</f>
        <v>84800</v>
      </c>
      <c r="Y15" s="316">
        <f>11000+58200+16600-1000</f>
        <v>84800</v>
      </c>
      <c r="Z15" s="316">
        <f>11000+58200+16600-1000</f>
        <v>84800</v>
      </c>
      <c r="AA15" s="315">
        <f t="shared" si="3"/>
        <v>83979.2</v>
      </c>
      <c r="AB15" s="316">
        <f>R15</f>
        <v>85800</v>
      </c>
      <c r="AC15" s="316">
        <f>S15</f>
        <v>85800</v>
      </c>
      <c r="AD15" s="316">
        <f>W15</f>
        <v>83479.2</v>
      </c>
      <c r="AE15" s="316">
        <f>X15</f>
        <v>84800</v>
      </c>
      <c r="AF15" s="317">
        <f>Y15</f>
        <v>84800</v>
      </c>
      <c r="AG15" s="318" t="s">
        <v>80</v>
      </c>
      <c r="AH15" s="9"/>
      <c r="AI15" s="9"/>
      <c r="AJ15" s="9" t="s">
        <v>154</v>
      </c>
      <c r="AK15" s="9" t="s">
        <v>155</v>
      </c>
      <c r="AL15" s="9" t="s">
        <v>156</v>
      </c>
      <c r="AM15" s="9" t="s">
        <v>157</v>
      </c>
      <c r="AN15" s="9" t="s">
        <v>158</v>
      </c>
      <c r="AO15" s="9" t="s">
        <v>159</v>
      </c>
      <c r="AP15" s="9" t="s">
        <v>160</v>
      </c>
      <c r="AQ15" s="9" t="s">
        <v>161</v>
      </c>
      <c r="AR15" s="9" t="s">
        <v>162</v>
      </c>
      <c r="AS15" s="9" t="s">
        <v>163</v>
      </c>
      <c r="AT15" s="9" t="s">
        <v>164</v>
      </c>
      <c r="AU15" s="9" t="s">
        <v>165</v>
      </c>
      <c r="AV15" s="9" t="s">
        <v>166</v>
      </c>
      <c r="AW15" s="9" t="s">
        <v>167</v>
      </c>
      <c r="AX15" s="9" t="s">
        <v>168</v>
      </c>
      <c r="AY15" s="9" t="s">
        <v>169</v>
      </c>
      <c r="AZ15" s="9" t="s">
        <v>170</v>
      </c>
      <c r="BA15" s="9"/>
      <c r="BB15" s="9"/>
      <c r="BC15" s="9"/>
      <c r="BD15" s="9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s="10" customFormat="1" ht="117.75" customHeight="1">
      <c r="A16" s="8"/>
      <c r="B16" s="308"/>
      <c r="C16" s="309"/>
      <c r="D16" s="310"/>
      <c r="E16" s="311"/>
      <c r="F16" s="312"/>
      <c r="G16" s="313"/>
      <c r="H16" s="312"/>
      <c r="I16" s="312"/>
      <c r="J16" s="312"/>
      <c r="K16" s="44" t="s">
        <v>171</v>
      </c>
      <c r="L16" s="44" t="s">
        <v>77</v>
      </c>
      <c r="M16" s="78" t="s">
        <v>172</v>
      </c>
      <c r="N16" s="314"/>
      <c r="O16" s="315"/>
      <c r="P16" s="316"/>
      <c r="Q16" s="316"/>
      <c r="R16" s="316"/>
      <c r="S16" s="316"/>
      <c r="T16" s="316"/>
      <c r="U16" s="315"/>
      <c r="V16" s="316"/>
      <c r="W16" s="316"/>
      <c r="X16" s="316"/>
      <c r="Y16" s="316"/>
      <c r="Z16" s="316"/>
      <c r="AA16" s="315"/>
      <c r="AB16" s="316"/>
      <c r="AC16" s="316"/>
      <c r="AD16" s="316"/>
      <c r="AE16" s="316"/>
      <c r="AF16" s="317"/>
      <c r="AG16" s="318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79" s="74" customFormat="1" ht="120">
      <c r="A17" s="59"/>
      <c r="B17" s="79"/>
      <c r="C17" s="80"/>
      <c r="D17" s="79"/>
      <c r="E17" s="62" t="s">
        <v>173</v>
      </c>
      <c r="F17" s="63" t="s">
        <v>174</v>
      </c>
      <c r="G17" s="63"/>
      <c r="H17" s="63"/>
      <c r="I17" s="63"/>
      <c r="J17" s="63"/>
      <c r="K17" s="63"/>
      <c r="L17" s="63"/>
      <c r="M17" s="65"/>
      <c r="N17" s="81" t="s">
        <v>175</v>
      </c>
      <c r="O17" s="68">
        <v>7765.5</v>
      </c>
      <c r="P17" s="68">
        <v>7765.5</v>
      </c>
      <c r="Q17" s="68">
        <v>9000</v>
      </c>
      <c r="R17" s="68">
        <v>10093.7</v>
      </c>
      <c r="S17" s="68">
        <v>10045.3</v>
      </c>
      <c r="T17" s="82">
        <v>10045.3</v>
      </c>
      <c r="U17" s="82">
        <v>7765.5</v>
      </c>
      <c r="V17" s="68">
        <v>7765.5</v>
      </c>
      <c r="W17" s="68">
        <v>9000</v>
      </c>
      <c r="X17" s="68">
        <v>10093.7</v>
      </c>
      <c r="Y17" s="68">
        <v>10045.3</v>
      </c>
      <c r="Z17" s="68">
        <v>10045.3</v>
      </c>
      <c r="AA17" s="69">
        <f aca="true" t="shared" si="4" ref="AA17:AA23">Q17</f>
        <v>9000</v>
      </c>
      <c r="AB17" s="70">
        <f aca="true" t="shared" si="5" ref="AB17:AB23">R17</f>
        <v>10093.7</v>
      </c>
      <c r="AC17" s="70">
        <f aca="true" t="shared" si="6" ref="AC17:AC23">S17</f>
        <v>10045.3</v>
      </c>
      <c r="AD17" s="70">
        <f aca="true" t="shared" si="7" ref="AD17:AD23">W17</f>
        <v>9000</v>
      </c>
      <c r="AE17" s="70">
        <f aca="true" t="shared" si="8" ref="AE17:AE23">X17</f>
        <v>10093.7</v>
      </c>
      <c r="AF17" s="71">
        <f aca="true" t="shared" si="9" ref="AF17:AF23">Y17</f>
        <v>10045.3</v>
      </c>
      <c r="AG17" s="68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</row>
    <row r="18" spans="1:79" s="74" customFormat="1" ht="168">
      <c r="A18" s="59"/>
      <c r="B18" s="79"/>
      <c r="C18" s="80"/>
      <c r="D18" s="79"/>
      <c r="E18" s="62" t="s">
        <v>121</v>
      </c>
      <c r="F18" s="83"/>
      <c r="G18" s="63"/>
      <c r="H18" s="63"/>
      <c r="I18" s="63"/>
      <c r="J18" s="63"/>
      <c r="K18" s="63"/>
      <c r="L18" s="63"/>
      <c r="M18" s="65"/>
      <c r="N18" s="81" t="s">
        <v>176</v>
      </c>
      <c r="O18" s="67">
        <v>8213.4</v>
      </c>
      <c r="P18" s="68">
        <v>7799.6</v>
      </c>
      <c r="Q18" s="68">
        <v>6217.3</v>
      </c>
      <c r="R18" s="68">
        <v>6506.3</v>
      </c>
      <c r="S18" s="68">
        <v>6554.7</v>
      </c>
      <c r="T18" s="68">
        <v>6554.7</v>
      </c>
      <c r="U18" s="67">
        <v>8213.4</v>
      </c>
      <c r="V18" s="68">
        <v>7799.6</v>
      </c>
      <c r="W18" s="68">
        <v>6217.3</v>
      </c>
      <c r="X18" s="68">
        <v>6506.3</v>
      </c>
      <c r="Y18" s="68">
        <v>6554.7</v>
      </c>
      <c r="Z18" s="68">
        <v>6554.7</v>
      </c>
      <c r="AA18" s="69">
        <f t="shared" si="4"/>
        <v>6217.3</v>
      </c>
      <c r="AB18" s="70">
        <f t="shared" si="5"/>
        <v>6506.3</v>
      </c>
      <c r="AC18" s="70">
        <f t="shared" si="6"/>
        <v>6554.7</v>
      </c>
      <c r="AD18" s="70">
        <f t="shared" si="7"/>
        <v>6217.3</v>
      </c>
      <c r="AE18" s="70">
        <f t="shared" si="8"/>
        <v>6506.3</v>
      </c>
      <c r="AF18" s="71">
        <f t="shared" si="9"/>
        <v>6554.7</v>
      </c>
      <c r="AG18" s="68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</row>
    <row r="19" spans="1:79" s="10" customFormat="1" ht="152.25" customHeight="1">
      <c r="A19" s="8"/>
      <c r="B19" s="49" t="s">
        <v>177</v>
      </c>
      <c r="C19" s="50" t="s">
        <v>178</v>
      </c>
      <c r="D19" s="51">
        <v>2511</v>
      </c>
      <c r="E19" s="44" t="s">
        <v>73</v>
      </c>
      <c r="F19" s="52" t="s">
        <v>179</v>
      </c>
      <c r="G19" s="58">
        <v>37900</v>
      </c>
      <c r="H19" s="52"/>
      <c r="I19" s="52"/>
      <c r="J19" s="52"/>
      <c r="K19" s="52" t="s">
        <v>180</v>
      </c>
      <c r="L19" s="52" t="s">
        <v>181</v>
      </c>
      <c r="M19" s="84" t="s">
        <v>182</v>
      </c>
      <c r="N19" s="54" t="s">
        <v>183</v>
      </c>
      <c r="O19" s="55">
        <v>302091.5</v>
      </c>
      <c r="P19" s="56">
        <v>287444.4</v>
      </c>
      <c r="Q19" s="56">
        <v>263198</v>
      </c>
      <c r="R19" s="56">
        <v>250000</v>
      </c>
      <c r="S19" s="56">
        <v>250000</v>
      </c>
      <c r="T19" s="56">
        <v>250000</v>
      </c>
      <c r="U19" s="55">
        <v>302091.5</v>
      </c>
      <c r="V19" s="56">
        <v>287444.4</v>
      </c>
      <c r="W19" s="56">
        <v>263198</v>
      </c>
      <c r="X19" s="56">
        <v>250000</v>
      </c>
      <c r="Y19" s="56">
        <v>250000</v>
      </c>
      <c r="Z19" s="56">
        <v>250000</v>
      </c>
      <c r="AA19" s="55">
        <f t="shared" si="4"/>
        <v>263198</v>
      </c>
      <c r="AB19" s="56">
        <f t="shared" si="5"/>
        <v>250000</v>
      </c>
      <c r="AC19" s="56">
        <f t="shared" si="6"/>
        <v>250000</v>
      </c>
      <c r="AD19" s="56">
        <f t="shared" si="7"/>
        <v>263198</v>
      </c>
      <c r="AE19" s="56">
        <f t="shared" si="8"/>
        <v>250000</v>
      </c>
      <c r="AF19" s="57">
        <f t="shared" si="9"/>
        <v>250000</v>
      </c>
      <c r="AG19" s="56" t="s">
        <v>80</v>
      </c>
      <c r="AH19" s="9"/>
      <c r="AI19" s="9"/>
      <c r="AJ19" s="9" t="s">
        <v>184</v>
      </c>
      <c r="AK19" s="9" t="s">
        <v>185</v>
      </c>
      <c r="AL19" s="9" t="s">
        <v>186</v>
      </c>
      <c r="AM19" s="9" t="s">
        <v>187</v>
      </c>
      <c r="AN19" s="9" t="s">
        <v>188</v>
      </c>
      <c r="AO19" s="9" t="s">
        <v>189</v>
      </c>
      <c r="AP19" s="9" t="s">
        <v>190</v>
      </c>
      <c r="AQ19" s="9" t="s">
        <v>191</v>
      </c>
      <c r="AR19" s="9" t="s">
        <v>192</v>
      </c>
      <c r="AS19" s="9" t="s">
        <v>193</v>
      </c>
      <c r="AT19" s="9" t="s">
        <v>194</v>
      </c>
      <c r="AU19" s="9" t="s">
        <v>195</v>
      </c>
      <c r="AV19" s="9" t="s">
        <v>196</v>
      </c>
      <c r="AW19" s="9" t="s">
        <v>197</v>
      </c>
      <c r="AX19" s="9" t="s">
        <v>198</v>
      </c>
      <c r="AY19" s="9" t="s">
        <v>199</v>
      </c>
      <c r="AZ19" s="9" t="s">
        <v>200</v>
      </c>
      <c r="BA19" s="9"/>
      <c r="BB19" s="9"/>
      <c r="BC19" s="9"/>
      <c r="BD19" s="9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56" ht="147" customHeight="1">
      <c r="A20" s="8"/>
      <c r="B20" s="49" t="s">
        <v>201</v>
      </c>
      <c r="C20" s="50" t="s">
        <v>202</v>
      </c>
      <c r="D20" s="51">
        <v>2515</v>
      </c>
      <c r="E20" s="44" t="s">
        <v>73</v>
      </c>
      <c r="F20" s="52" t="s">
        <v>203</v>
      </c>
      <c r="G20" s="58">
        <v>37900</v>
      </c>
      <c r="H20" s="52"/>
      <c r="I20" s="52"/>
      <c r="J20" s="52"/>
      <c r="K20" s="52" t="s">
        <v>204</v>
      </c>
      <c r="L20" s="52" t="s">
        <v>77</v>
      </c>
      <c r="M20" s="53" t="s">
        <v>205</v>
      </c>
      <c r="N20" s="54" t="s">
        <v>206</v>
      </c>
      <c r="O20" s="55">
        <f>14154.1+100+25+800</f>
        <v>15079.1</v>
      </c>
      <c r="P20" s="56">
        <f>13972.5+100+23+739.2</f>
        <v>14834.7</v>
      </c>
      <c r="Q20" s="56">
        <f>8200+25+600</f>
        <v>8825</v>
      </c>
      <c r="R20" s="56">
        <f>5434+25+800</f>
        <v>6259</v>
      </c>
      <c r="S20" s="56">
        <f>5650+25+800</f>
        <v>6475</v>
      </c>
      <c r="T20" s="56">
        <f>5650+25+800</f>
        <v>6475</v>
      </c>
      <c r="U20" s="55">
        <f>14154.1+100+25+800</f>
        <v>15079.1</v>
      </c>
      <c r="V20" s="56">
        <f>13972.5+100+23+739.2</f>
        <v>14834.7</v>
      </c>
      <c r="W20" s="56">
        <f>8200+25+600</f>
        <v>8825</v>
      </c>
      <c r="X20" s="56">
        <f>5434+25+800</f>
        <v>6259</v>
      </c>
      <c r="Y20" s="56">
        <f>5650+25+800</f>
        <v>6475</v>
      </c>
      <c r="Z20" s="56">
        <f>5650+25+800</f>
        <v>6475</v>
      </c>
      <c r="AA20" s="55">
        <f t="shared" si="4"/>
        <v>8825</v>
      </c>
      <c r="AB20" s="56">
        <f t="shared" si="5"/>
        <v>6259</v>
      </c>
      <c r="AC20" s="56">
        <f t="shared" si="6"/>
        <v>6475</v>
      </c>
      <c r="AD20" s="56">
        <f t="shared" si="7"/>
        <v>8825</v>
      </c>
      <c r="AE20" s="56">
        <f t="shared" si="8"/>
        <v>6259</v>
      </c>
      <c r="AF20" s="57">
        <f t="shared" si="9"/>
        <v>6475</v>
      </c>
      <c r="AG20" s="56" t="s">
        <v>80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79" s="10" customFormat="1" ht="140.25">
      <c r="A21" s="8"/>
      <c r="B21" s="51" t="s">
        <v>207</v>
      </c>
      <c r="C21" s="50" t="s">
        <v>208</v>
      </c>
      <c r="D21" s="51">
        <v>2517</v>
      </c>
      <c r="E21" s="44" t="s">
        <v>73</v>
      </c>
      <c r="F21" s="52" t="s">
        <v>209</v>
      </c>
      <c r="G21" s="58">
        <v>37900</v>
      </c>
      <c r="H21" s="52"/>
      <c r="I21" s="52"/>
      <c r="J21" s="58"/>
      <c r="K21" s="52" t="s">
        <v>210</v>
      </c>
      <c r="L21" s="52" t="s">
        <v>127</v>
      </c>
      <c r="M21" s="84">
        <v>41813</v>
      </c>
      <c r="N21" s="54" t="s">
        <v>211</v>
      </c>
      <c r="O21" s="55">
        <v>2800</v>
      </c>
      <c r="P21" s="57"/>
      <c r="Q21" s="56">
        <v>2800</v>
      </c>
      <c r="R21" s="56">
        <v>2800</v>
      </c>
      <c r="S21" s="56">
        <v>2800</v>
      </c>
      <c r="T21" s="56">
        <v>2800</v>
      </c>
      <c r="U21" s="55">
        <v>2800</v>
      </c>
      <c r="V21" s="57"/>
      <c r="W21" s="56">
        <v>2800</v>
      </c>
      <c r="X21" s="56">
        <v>2800</v>
      </c>
      <c r="Y21" s="56">
        <v>2800</v>
      </c>
      <c r="Z21" s="56">
        <v>2800</v>
      </c>
      <c r="AA21" s="55">
        <f t="shared" si="4"/>
        <v>2800</v>
      </c>
      <c r="AB21" s="56">
        <f t="shared" si="5"/>
        <v>2800</v>
      </c>
      <c r="AC21" s="56">
        <f t="shared" si="6"/>
        <v>2800</v>
      </c>
      <c r="AD21" s="56">
        <f t="shared" si="7"/>
        <v>2800</v>
      </c>
      <c r="AE21" s="56">
        <f t="shared" si="8"/>
        <v>2800</v>
      </c>
      <c r="AF21" s="57">
        <f t="shared" si="9"/>
        <v>2800</v>
      </c>
      <c r="AG21" s="56" t="s">
        <v>80</v>
      </c>
      <c r="AH21" s="9"/>
      <c r="AI21" s="9"/>
      <c r="AJ21" s="9" t="s">
        <v>212</v>
      </c>
      <c r="AK21" s="9" t="s">
        <v>213</v>
      </c>
      <c r="AL21" s="9" t="s">
        <v>214</v>
      </c>
      <c r="AM21" s="9" t="s">
        <v>215</v>
      </c>
      <c r="AN21" s="9" t="s">
        <v>216</v>
      </c>
      <c r="AO21" s="9" t="s">
        <v>217</v>
      </c>
      <c r="AP21" s="9" t="s">
        <v>218</v>
      </c>
      <c r="AQ21" s="9" t="s">
        <v>219</v>
      </c>
      <c r="AR21" s="9" t="s">
        <v>220</v>
      </c>
      <c r="AS21" s="9" t="s">
        <v>221</v>
      </c>
      <c r="AT21" s="9" t="s">
        <v>222</v>
      </c>
      <c r="AU21" s="9" t="s">
        <v>223</v>
      </c>
      <c r="AV21" s="9" t="s">
        <v>224</v>
      </c>
      <c r="AW21" s="9" t="s">
        <v>225</v>
      </c>
      <c r="AX21" s="9" t="s">
        <v>226</v>
      </c>
      <c r="AY21" s="9" t="s">
        <v>227</v>
      </c>
      <c r="AZ21" s="9" t="s">
        <v>228</v>
      </c>
      <c r="BA21" s="9"/>
      <c r="BB21" s="9"/>
      <c r="BC21" s="9"/>
      <c r="BD21" s="9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56" ht="143.25" customHeight="1">
      <c r="A22" s="8"/>
      <c r="B22" s="51" t="s">
        <v>229</v>
      </c>
      <c r="C22" s="50" t="s">
        <v>230</v>
      </c>
      <c r="D22" s="51">
        <v>2520</v>
      </c>
      <c r="E22" s="44" t="s">
        <v>73</v>
      </c>
      <c r="F22" s="52" t="s">
        <v>231</v>
      </c>
      <c r="G22" s="58">
        <v>37900</v>
      </c>
      <c r="H22" s="52"/>
      <c r="I22" s="52"/>
      <c r="J22" s="52"/>
      <c r="K22" s="52" t="s">
        <v>204</v>
      </c>
      <c r="L22" s="52" t="s">
        <v>77</v>
      </c>
      <c r="M22" s="53" t="s">
        <v>232</v>
      </c>
      <c r="N22" s="54" t="s">
        <v>233</v>
      </c>
      <c r="O22" s="55">
        <v>900</v>
      </c>
      <c r="P22" s="56">
        <v>805.7</v>
      </c>
      <c r="Q22" s="56">
        <v>990</v>
      </c>
      <c r="R22" s="56">
        <v>1030</v>
      </c>
      <c r="S22" s="56">
        <v>1080</v>
      </c>
      <c r="T22" s="56">
        <v>1080</v>
      </c>
      <c r="U22" s="55">
        <v>900</v>
      </c>
      <c r="V22" s="56">
        <v>805.7</v>
      </c>
      <c r="W22" s="56">
        <v>990</v>
      </c>
      <c r="X22" s="56">
        <v>1030</v>
      </c>
      <c r="Y22" s="56">
        <v>1080</v>
      </c>
      <c r="Z22" s="56">
        <v>1080</v>
      </c>
      <c r="AA22" s="55">
        <f t="shared" si="4"/>
        <v>990</v>
      </c>
      <c r="AB22" s="56">
        <f t="shared" si="5"/>
        <v>1030</v>
      </c>
      <c r="AC22" s="56">
        <f t="shared" si="6"/>
        <v>1080</v>
      </c>
      <c r="AD22" s="56">
        <f t="shared" si="7"/>
        <v>990</v>
      </c>
      <c r="AE22" s="56">
        <f t="shared" si="8"/>
        <v>1030</v>
      </c>
      <c r="AF22" s="57">
        <f t="shared" si="9"/>
        <v>1080</v>
      </c>
      <c r="AG22" s="56" t="s">
        <v>80</v>
      </c>
      <c r="AH22" s="9"/>
      <c r="AI22" s="9"/>
      <c r="AJ22" s="9" t="s">
        <v>234</v>
      </c>
      <c r="AK22" s="9" t="s">
        <v>235</v>
      </c>
      <c r="AL22" s="9" t="s">
        <v>236</v>
      </c>
      <c r="AM22" s="9" t="s">
        <v>237</v>
      </c>
      <c r="AN22" s="9" t="s">
        <v>238</v>
      </c>
      <c r="AO22" s="9" t="s">
        <v>239</v>
      </c>
      <c r="AP22" s="9" t="s">
        <v>240</v>
      </c>
      <c r="AQ22" s="9" t="s">
        <v>241</v>
      </c>
      <c r="AR22" s="9" t="s">
        <v>242</v>
      </c>
      <c r="AS22" s="9" t="s">
        <v>243</v>
      </c>
      <c r="AT22" s="9" t="s">
        <v>244</v>
      </c>
      <c r="AU22" s="9" t="s">
        <v>245</v>
      </c>
      <c r="AV22" s="9" t="s">
        <v>246</v>
      </c>
      <c r="AW22" s="9" t="s">
        <v>247</v>
      </c>
      <c r="AX22" s="9" t="s">
        <v>248</v>
      </c>
      <c r="AY22" s="9" t="s">
        <v>249</v>
      </c>
      <c r="AZ22" s="9" t="s">
        <v>250</v>
      </c>
      <c r="BA22" s="9"/>
      <c r="BB22" s="9"/>
      <c r="BC22" s="9"/>
      <c r="BD22" s="9"/>
    </row>
    <row r="23" spans="1:79" s="10" customFormat="1" ht="76.5" customHeight="1">
      <c r="A23" s="8"/>
      <c r="B23" s="308" t="s">
        <v>251</v>
      </c>
      <c r="C23" s="319" t="s">
        <v>252</v>
      </c>
      <c r="D23" s="308">
        <v>2522</v>
      </c>
      <c r="E23" s="44" t="s">
        <v>73</v>
      </c>
      <c r="F23" s="52" t="s">
        <v>253</v>
      </c>
      <c r="G23" s="58">
        <v>37900</v>
      </c>
      <c r="H23" s="320"/>
      <c r="I23" s="312"/>
      <c r="J23" s="312"/>
      <c r="K23" s="320" t="s">
        <v>254</v>
      </c>
      <c r="L23" s="312" t="s">
        <v>77</v>
      </c>
      <c r="M23" s="321" t="s">
        <v>205</v>
      </c>
      <c r="N23" s="314" t="s">
        <v>255</v>
      </c>
      <c r="O23" s="315">
        <v>339876.6</v>
      </c>
      <c r="P23" s="316">
        <v>327464.9</v>
      </c>
      <c r="Q23" s="316">
        <v>345454.5</v>
      </c>
      <c r="R23" s="322">
        <v>732174.5</v>
      </c>
      <c r="S23" s="322">
        <v>359194.5</v>
      </c>
      <c r="T23" s="322">
        <v>359194.5</v>
      </c>
      <c r="U23" s="315">
        <v>339876.6</v>
      </c>
      <c r="V23" s="316">
        <v>327464.9</v>
      </c>
      <c r="W23" s="316">
        <v>345454.5</v>
      </c>
      <c r="X23" s="322">
        <f>732174.5-379700</f>
        <v>352474.5</v>
      </c>
      <c r="Y23" s="322">
        <v>359194.5</v>
      </c>
      <c r="Z23" s="322">
        <v>359194.5</v>
      </c>
      <c r="AA23" s="315">
        <f t="shared" si="4"/>
        <v>345454.5</v>
      </c>
      <c r="AB23" s="316">
        <f t="shared" si="5"/>
        <v>732174.5</v>
      </c>
      <c r="AC23" s="316">
        <f t="shared" si="6"/>
        <v>359194.5</v>
      </c>
      <c r="AD23" s="316">
        <f t="shared" si="7"/>
        <v>345454.5</v>
      </c>
      <c r="AE23" s="316">
        <f t="shared" si="8"/>
        <v>352474.5</v>
      </c>
      <c r="AF23" s="317">
        <f t="shared" si="9"/>
        <v>359194.5</v>
      </c>
      <c r="AG23" s="316" t="s">
        <v>80</v>
      </c>
      <c r="AH23" s="9"/>
      <c r="AI23" s="9"/>
      <c r="AJ23" s="9" t="s">
        <v>256</v>
      </c>
      <c r="AK23" s="9" t="s">
        <v>257</v>
      </c>
      <c r="AL23" s="9" t="s">
        <v>258</v>
      </c>
      <c r="AM23" s="9" t="s">
        <v>259</v>
      </c>
      <c r="AN23" s="9" t="s">
        <v>260</v>
      </c>
      <c r="AO23" s="9" t="s">
        <v>261</v>
      </c>
      <c r="AP23" s="9" t="s">
        <v>262</v>
      </c>
      <c r="AQ23" s="9" t="s">
        <v>263</v>
      </c>
      <c r="AR23" s="9" t="s">
        <v>264</v>
      </c>
      <c r="AS23" s="9" t="s">
        <v>265</v>
      </c>
      <c r="AT23" s="9" t="s">
        <v>266</v>
      </c>
      <c r="AU23" s="9" t="s">
        <v>267</v>
      </c>
      <c r="AV23" s="9" t="s">
        <v>268</v>
      </c>
      <c r="AW23" s="9" t="s">
        <v>269</v>
      </c>
      <c r="AX23" s="9" t="s">
        <v>270</v>
      </c>
      <c r="AY23" s="9" t="s">
        <v>271</v>
      </c>
      <c r="AZ23" s="9" t="s">
        <v>272</v>
      </c>
      <c r="BA23" s="9"/>
      <c r="BB23" s="9"/>
      <c r="BC23" s="9"/>
      <c r="BD23" s="9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s="10" customFormat="1" ht="64.5" customHeight="1">
      <c r="A24" s="8"/>
      <c r="B24" s="308"/>
      <c r="C24" s="319"/>
      <c r="D24" s="308"/>
      <c r="E24" s="44" t="s">
        <v>273</v>
      </c>
      <c r="F24" s="52" t="s">
        <v>274</v>
      </c>
      <c r="G24" s="88">
        <v>41275</v>
      </c>
      <c r="H24" s="320"/>
      <c r="I24" s="312"/>
      <c r="J24" s="312"/>
      <c r="K24" s="312"/>
      <c r="L24" s="312"/>
      <c r="M24" s="321"/>
      <c r="N24" s="314"/>
      <c r="O24" s="315"/>
      <c r="P24" s="316"/>
      <c r="Q24" s="316"/>
      <c r="R24" s="322"/>
      <c r="S24" s="322"/>
      <c r="T24" s="322"/>
      <c r="U24" s="315"/>
      <c r="V24" s="316"/>
      <c r="W24" s="316"/>
      <c r="X24" s="322"/>
      <c r="Y24" s="322"/>
      <c r="Z24" s="322"/>
      <c r="AA24" s="315"/>
      <c r="AB24" s="316"/>
      <c r="AC24" s="316"/>
      <c r="AD24" s="316"/>
      <c r="AE24" s="316"/>
      <c r="AF24" s="317"/>
      <c r="AG24" s="316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s="74" customFormat="1" ht="99.75" customHeight="1">
      <c r="A25" s="59"/>
      <c r="B25" s="79"/>
      <c r="C25" s="80"/>
      <c r="D25" s="79"/>
      <c r="E25" s="89" t="s">
        <v>275</v>
      </c>
      <c r="F25" s="63" t="s">
        <v>276</v>
      </c>
      <c r="G25" s="90"/>
      <c r="H25" s="91"/>
      <c r="I25" s="63"/>
      <c r="J25" s="63"/>
      <c r="K25" s="63"/>
      <c r="L25" s="63"/>
      <c r="M25" s="65"/>
      <c r="N25" s="66" t="s">
        <v>255</v>
      </c>
      <c r="O25" s="67"/>
      <c r="P25" s="68"/>
      <c r="Q25" s="68"/>
      <c r="R25" s="68">
        <v>379700</v>
      </c>
      <c r="S25" s="68"/>
      <c r="T25" s="68"/>
      <c r="U25" s="67"/>
      <c r="V25" s="68"/>
      <c r="W25" s="68"/>
      <c r="X25" s="68"/>
      <c r="Y25" s="68"/>
      <c r="Z25" s="68"/>
      <c r="AA25" s="69"/>
      <c r="AB25" s="70">
        <f>R25</f>
        <v>379700</v>
      </c>
      <c r="AC25" s="70"/>
      <c r="AD25" s="70"/>
      <c r="AE25" s="70"/>
      <c r="AF25" s="71"/>
      <c r="AG25" s="68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</row>
    <row r="26" spans="1:79" s="10" customFormat="1" ht="73.5" customHeight="1">
      <c r="A26" s="8"/>
      <c r="B26" s="308" t="s">
        <v>277</v>
      </c>
      <c r="C26" s="319" t="s">
        <v>278</v>
      </c>
      <c r="D26" s="308">
        <v>2523</v>
      </c>
      <c r="E26" s="44" t="s">
        <v>73</v>
      </c>
      <c r="F26" s="52" t="s">
        <v>253</v>
      </c>
      <c r="G26" s="58">
        <v>37900</v>
      </c>
      <c r="H26" s="320"/>
      <c r="I26" s="312"/>
      <c r="J26" s="312"/>
      <c r="K26" s="312" t="s">
        <v>254</v>
      </c>
      <c r="L26" s="312" t="s">
        <v>77</v>
      </c>
      <c r="M26" s="323" t="s">
        <v>205</v>
      </c>
      <c r="N26" s="314" t="s">
        <v>279</v>
      </c>
      <c r="O26" s="315">
        <v>358312.2</v>
      </c>
      <c r="P26" s="316">
        <v>350657.9</v>
      </c>
      <c r="Q26" s="316">
        <v>357287.1</v>
      </c>
      <c r="R26" s="316">
        <v>508138.9</v>
      </c>
      <c r="S26" s="316">
        <v>390228.2</v>
      </c>
      <c r="T26" s="316">
        <v>390228.2</v>
      </c>
      <c r="U26" s="315">
        <v>358312.2</v>
      </c>
      <c r="V26" s="316">
        <v>350657.9</v>
      </c>
      <c r="W26" s="316">
        <v>357287.1</v>
      </c>
      <c r="X26" s="316">
        <v>508138.9</v>
      </c>
      <c r="Y26" s="316">
        <v>390228.2</v>
      </c>
      <c r="Z26" s="316">
        <v>390228.2</v>
      </c>
      <c r="AA26" s="315">
        <f>Q26</f>
        <v>357287.1</v>
      </c>
      <c r="AB26" s="316">
        <f>R26</f>
        <v>508138.9</v>
      </c>
      <c r="AC26" s="316">
        <f>S26</f>
        <v>390228.2</v>
      </c>
      <c r="AD26" s="316">
        <f>W26</f>
        <v>357287.1</v>
      </c>
      <c r="AE26" s="316">
        <f>X26</f>
        <v>508138.9</v>
      </c>
      <c r="AF26" s="317">
        <f>Y26</f>
        <v>390228.2</v>
      </c>
      <c r="AG26" s="316" t="s">
        <v>80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79" s="10" customFormat="1" ht="67.5" customHeight="1">
      <c r="A27" s="8"/>
      <c r="B27" s="308"/>
      <c r="C27" s="319"/>
      <c r="D27" s="308"/>
      <c r="E27" s="44" t="s">
        <v>273</v>
      </c>
      <c r="F27" s="52" t="s">
        <v>274</v>
      </c>
      <c r="G27" s="88">
        <v>41275</v>
      </c>
      <c r="H27" s="320"/>
      <c r="I27" s="312"/>
      <c r="J27" s="312"/>
      <c r="K27" s="312"/>
      <c r="L27" s="312"/>
      <c r="M27" s="323"/>
      <c r="N27" s="314"/>
      <c r="O27" s="315"/>
      <c r="P27" s="316"/>
      <c r="Q27" s="316"/>
      <c r="R27" s="316"/>
      <c r="S27" s="316"/>
      <c r="T27" s="316"/>
      <c r="U27" s="315"/>
      <c r="V27" s="316"/>
      <c r="W27" s="316"/>
      <c r="X27" s="316"/>
      <c r="Y27" s="316"/>
      <c r="Z27" s="316"/>
      <c r="AA27" s="315"/>
      <c r="AB27" s="316"/>
      <c r="AC27" s="316"/>
      <c r="AD27" s="316"/>
      <c r="AE27" s="316"/>
      <c r="AF27" s="317"/>
      <c r="AG27" s="316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79" s="10" customFormat="1" ht="72.75" customHeight="1">
      <c r="A28" s="8"/>
      <c r="B28" s="308" t="s">
        <v>280</v>
      </c>
      <c r="C28" s="319" t="s">
        <v>281</v>
      </c>
      <c r="D28" s="308">
        <v>2525</v>
      </c>
      <c r="E28" s="44" t="s">
        <v>73</v>
      </c>
      <c r="F28" s="52" t="s">
        <v>253</v>
      </c>
      <c r="G28" s="58">
        <v>37900</v>
      </c>
      <c r="H28" s="320"/>
      <c r="I28" s="312"/>
      <c r="J28" s="312"/>
      <c r="K28" s="320" t="s">
        <v>282</v>
      </c>
      <c r="L28" s="324" t="s">
        <v>283</v>
      </c>
      <c r="M28" s="325" t="s">
        <v>284</v>
      </c>
      <c r="N28" s="314" t="s">
        <v>285</v>
      </c>
      <c r="O28" s="315">
        <v>278555.6</v>
      </c>
      <c r="P28" s="316">
        <v>276636.7</v>
      </c>
      <c r="Q28" s="316">
        <v>237846</v>
      </c>
      <c r="R28" s="322">
        <v>248549.2</v>
      </c>
      <c r="S28" s="322">
        <v>258413.6</v>
      </c>
      <c r="T28" s="322">
        <v>258413.6</v>
      </c>
      <c r="U28" s="315">
        <v>278555.6</v>
      </c>
      <c r="V28" s="316">
        <v>276636.7</v>
      </c>
      <c r="W28" s="316">
        <v>237846</v>
      </c>
      <c r="X28" s="322">
        <v>248549.2</v>
      </c>
      <c r="Y28" s="322">
        <v>258413.6</v>
      </c>
      <c r="Z28" s="322">
        <v>258413.6</v>
      </c>
      <c r="AA28" s="315">
        <f>Q28</f>
        <v>237846</v>
      </c>
      <c r="AB28" s="316">
        <f>R28</f>
        <v>248549.2</v>
      </c>
      <c r="AC28" s="316">
        <f>S28</f>
        <v>258413.6</v>
      </c>
      <c r="AD28" s="316">
        <f>W28</f>
        <v>237846</v>
      </c>
      <c r="AE28" s="316">
        <f>X28</f>
        <v>248549.2</v>
      </c>
      <c r="AF28" s="317">
        <f>Y28</f>
        <v>258413.6</v>
      </c>
      <c r="AG28" s="316" t="s">
        <v>80</v>
      </c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1:79" s="10" customFormat="1" ht="65.25" customHeight="1">
      <c r="A29" s="8"/>
      <c r="B29" s="308"/>
      <c r="C29" s="319"/>
      <c r="D29" s="308"/>
      <c r="E29" s="44" t="s">
        <v>273</v>
      </c>
      <c r="F29" s="52" t="s">
        <v>274</v>
      </c>
      <c r="G29" s="88">
        <v>41275</v>
      </c>
      <c r="H29" s="320"/>
      <c r="I29" s="312"/>
      <c r="J29" s="312"/>
      <c r="K29" s="320"/>
      <c r="L29" s="320"/>
      <c r="M29" s="325"/>
      <c r="N29" s="314"/>
      <c r="O29" s="315"/>
      <c r="P29" s="316"/>
      <c r="Q29" s="316"/>
      <c r="R29" s="322"/>
      <c r="S29" s="322"/>
      <c r="T29" s="322"/>
      <c r="U29" s="315"/>
      <c r="V29" s="316"/>
      <c r="W29" s="316"/>
      <c r="X29" s="322"/>
      <c r="Y29" s="322"/>
      <c r="Z29" s="322"/>
      <c r="AA29" s="315"/>
      <c r="AB29" s="316"/>
      <c r="AC29" s="316"/>
      <c r="AD29" s="316"/>
      <c r="AE29" s="316"/>
      <c r="AF29" s="317"/>
      <c r="AG29" s="316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1:79" s="96" customFormat="1" ht="120.75" customHeight="1">
      <c r="A30" s="8"/>
      <c r="B30" s="94" t="s">
        <v>286</v>
      </c>
      <c r="C30" s="95" t="s">
        <v>287</v>
      </c>
      <c r="D30" s="94">
        <v>2526</v>
      </c>
      <c r="E30" s="44" t="s">
        <v>73</v>
      </c>
      <c r="F30" s="52" t="s">
        <v>253</v>
      </c>
      <c r="G30" s="58">
        <v>37900</v>
      </c>
      <c r="H30" s="86"/>
      <c r="I30" s="52"/>
      <c r="J30" s="52"/>
      <c r="K30" s="52" t="s">
        <v>254</v>
      </c>
      <c r="L30" s="52" t="s">
        <v>77</v>
      </c>
      <c r="M30" s="84" t="s">
        <v>205</v>
      </c>
      <c r="N30" s="54" t="s">
        <v>288</v>
      </c>
      <c r="O30" s="55">
        <v>12568.4</v>
      </c>
      <c r="P30" s="56">
        <v>12478.1</v>
      </c>
      <c r="Q30" s="56">
        <v>12582.8</v>
      </c>
      <c r="R30" s="56">
        <v>12582.8</v>
      </c>
      <c r="S30" s="56">
        <v>12582.8</v>
      </c>
      <c r="T30" s="56">
        <v>12582.8</v>
      </c>
      <c r="U30" s="55">
        <v>12568.4</v>
      </c>
      <c r="V30" s="56">
        <v>12478.1</v>
      </c>
      <c r="W30" s="56">
        <v>12582.8</v>
      </c>
      <c r="X30" s="56">
        <v>12582.8</v>
      </c>
      <c r="Y30" s="56">
        <v>12582.8</v>
      </c>
      <c r="Z30" s="56">
        <v>12582.8</v>
      </c>
      <c r="AA30" s="55">
        <f aca="true" t="shared" si="10" ref="AA30:AA35">Q30</f>
        <v>12582.8</v>
      </c>
      <c r="AB30" s="56">
        <f aca="true" t="shared" si="11" ref="AB30:AB35">R30</f>
        <v>12582.8</v>
      </c>
      <c r="AC30" s="56">
        <f aca="true" t="shared" si="12" ref="AC30:AC35">S30</f>
        <v>12582.8</v>
      </c>
      <c r="AD30" s="56">
        <f aca="true" t="shared" si="13" ref="AD30:AD35">W30</f>
        <v>12582.8</v>
      </c>
      <c r="AE30" s="56">
        <f aca="true" t="shared" si="14" ref="AE30:AE35">X30</f>
        <v>12582.8</v>
      </c>
      <c r="AF30" s="57">
        <f aca="true" t="shared" si="15" ref="AF30:AF35">Y30</f>
        <v>12582.8</v>
      </c>
      <c r="AG30" s="56" t="s">
        <v>80</v>
      </c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1:79" s="96" customFormat="1" ht="212.25" customHeight="1">
      <c r="A31" s="8"/>
      <c r="B31" s="94" t="s">
        <v>289</v>
      </c>
      <c r="C31" s="95" t="s">
        <v>290</v>
      </c>
      <c r="D31" s="94">
        <v>2527</v>
      </c>
      <c r="E31" s="44" t="s">
        <v>73</v>
      </c>
      <c r="F31" s="52" t="s">
        <v>253</v>
      </c>
      <c r="G31" s="58">
        <v>37900</v>
      </c>
      <c r="H31" s="86"/>
      <c r="I31" s="52"/>
      <c r="J31" s="52"/>
      <c r="K31" s="52" t="s">
        <v>254</v>
      </c>
      <c r="L31" s="52" t="s">
        <v>77</v>
      </c>
      <c r="M31" s="84" t="s">
        <v>205</v>
      </c>
      <c r="N31" s="54" t="s">
        <v>291</v>
      </c>
      <c r="O31" s="55">
        <f>12696.6+58700.6</f>
        <v>71397.2</v>
      </c>
      <c r="P31" s="56">
        <f>12616.6+58398.5</f>
        <v>71015.1</v>
      </c>
      <c r="Q31" s="56">
        <v>75474.8</v>
      </c>
      <c r="R31" s="56">
        <v>76745</v>
      </c>
      <c r="S31" s="56">
        <v>79702</v>
      </c>
      <c r="T31" s="56">
        <v>79702</v>
      </c>
      <c r="U31" s="55">
        <f>12696.6+58700.6</f>
        <v>71397.2</v>
      </c>
      <c r="V31" s="56">
        <f>12616.6+58398.5</f>
        <v>71015.1</v>
      </c>
      <c r="W31" s="56">
        <v>75474.8</v>
      </c>
      <c r="X31" s="56">
        <v>76745</v>
      </c>
      <c r="Y31" s="56">
        <v>79702</v>
      </c>
      <c r="Z31" s="56">
        <v>79702</v>
      </c>
      <c r="AA31" s="55">
        <f t="shared" si="10"/>
        <v>75474.8</v>
      </c>
      <c r="AB31" s="56">
        <f t="shared" si="11"/>
        <v>76745</v>
      </c>
      <c r="AC31" s="56">
        <f t="shared" si="12"/>
        <v>79702</v>
      </c>
      <c r="AD31" s="56">
        <f t="shared" si="13"/>
        <v>75474.8</v>
      </c>
      <c r="AE31" s="56">
        <f t="shared" si="14"/>
        <v>76745</v>
      </c>
      <c r="AF31" s="57">
        <f t="shared" si="15"/>
        <v>79702</v>
      </c>
      <c r="AG31" s="56" t="s">
        <v>80</v>
      </c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79" s="74" customFormat="1" ht="81" customHeight="1">
      <c r="A32" s="59"/>
      <c r="B32" s="79"/>
      <c r="C32" s="80"/>
      <c r="D32" s="79"/>
      <c r="E32" s="97" t="s">
        <v>275</v>
      </c>
      <c r="F32" s="63" t="s">
        <v>292</v>
      </c>
      <c r="G32" s="90"/>
      <c r="H32" s="91"/>
      <c r="I32" s="63"/>
      <c r="J32" s="63"/>
      <c r="K32" s="63"/>
      <c r="L32" s="63"/>
      <c r="M32" s="65"/>
      <c r="N32" s="81" t="s">
        <v>291</v>
      </c>
      <c r="O32" s="67">
        <v>1275</v>
      </c>
      <c r="P32" s="68">
        <v>1270.3</v>
      </c>
      <c r="Q32" s="68">
        <v>1700</v>
      </c>
      <c r="R32" s="68">
        <v>1700</v>
      </c>
      <c r="S32" s="68">
        <v>1700</v>
      </c>
      <c r="T32" s="68">
        <v>1700</v>
      </c>
      <c r="U32" s="67">
        <v>1275</v>
      </c>
      <c r="V32" s="68">
        <v>1270.3</v>
      </c>
      <c r="W32" s="68">
        <v>1700</v>
      </c>
      <c r="X32" s="68">
        <v>1700</v>
      </c>
      <c r="Y32" s="68">
        <v>1700</v>
      </c>
      <c r="Z32" s="68">
        <v>1700</v>
      </c>
      <c r="AA32" s="69">
        <f t="shared" si="10"/>
        <v>1700</v>
      </c>
      <c r="AB32" s="70">
        <f t="shared" si="11"/>
        <v>1700</v>
      </c>
      <c r="AC32" s="70">
        <f t="shared" si="12"/>
        <v>1700</v>
      </c>
      <c r="AD32" s="70">
        <f t="shared" si="13"/>
        <v>1700</v>
      </c>
      <c r="AE32" s="70">
        <f t="shared" si="14"/>
        <v>1700</v>
      </c>
      <c r="AF32" s="71">
        <f t="shared" si="15"/>
        <v>1700</v>
      </c>
      <c r="AG32" s="68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</row>
    <row r="33" spans="1:56" ht="108" customHeight="1">
      <c r="A33" s="8"/>
      <c r="B33" s="49" t="s">
        <v>293</v>
      </c>
      <c r="C33" s="50" t="s">
        <v>294</v>
      </c>
      <c r="D33" s="51">
        <v>2530</v>
      </c>
      <c r="E33" s="44" t="s">
        <v>73</v>
      </c>
      <c r="F33" s="52" t="s">
        <v>295</v>
      </c>
      <c r="G33" s="58">
        <v>37900</v>
      </c>
      <c r="H33" s="98" t="s">
        <v>296</v>
      </c>
      <c r="I33" s="98" t="s">
        <v>297</v>
      </c>
      <c r="J33" s="99">
        <v>34712</v>
      </c>
      <c r="K33" s="98" t="s">
        <v>282</v>
      </c>
      <c r="L33" s="92" t="s">
        <v>298</v>
      </c>
      <c r="M33" s="93" t="s">
        <v>299</v>
      </c>
      <c r="N33" s="100" t="s">
        <v>300</v>
      </c>
      <c r="O33" s="101">
        <v>68524.9</v>
      </c>
      <c r="P33" s="77">
        <v>68364.9</v>
      </c>
      <c r="Q33" s="77">
        <v>60866.9</v>
      </c>
      <c r="R33" s="77">
        <v>63350.5</v>
      </c>
      <c r="S33" s="77">
        <v>65503.3</v>
      </c>
      <c r="T33" s="77">
        <v>65503.3</v>
      </c>
      <c r="U33" s="101">
        <v>68524.9</v>
      </c>
      <c r="V33" s="77">
        <v>68364.9</v>
      </c>
      <c r="W33" s="77">
        <v>60866.9</v>
      </c>
      <c r="X33" s="77">
        <v>63350.5</v>
      </c>
      <c r="Y33" s="77">
        <v>65503.3</v>
      </c>
      <c r="Z33" s="77">
        <v>65503.3</v>
      </c>
      <c r="AA33" s="55">
        <f t="shared" si="10"/>
        <v>60866.9</v>
      </c>
      <c r="AB33" s="56">
        <f t="shared" si="11"/>
        <v>63350.5</v>
      </c>
      <c r="AC33" s="56">
        <f t="shared" si="12"/>
        <v>65503.3</v>
      </c>
      <c r="AD33" s="56">
        <f t="shared" si="13"/>
        <v>60866.9</v>
      </c>
      <c r="AE33" s="56">
        <f t="shared" si="14"/>
        <v>63350.5</v>
      </c>
      <c r="AF33" s="57">
        <f t="shared" si="15"/>
        <v>65503.3</v>
      </c>
      <c r="AG33" s="56" t="s">
        <v>80</v>
      </c>
      <c r="AH33" s="9"/>
      <c r="AI33" s="9"/>
      <c r="AJ33" s="9" t="s">
        <v>301</v>
      </c>
      <c r="AK33" s="9" t="s">
        <v>302</v>
      </c>
      <c r="AL33" s="9" t="s">
        <v>303</v>
      </c>
      <c r="AM33" s="9" t="s">
        <v>304</v>
      </c>
      <c r="AN33" s="9" t="s">
        <v>305</v>
      </c>
      <c r="AO33" s="9" t="s">
        <v>306</v>
      </c>
      <c r="AP33" s="9" t="s">
        <v>307</v>
      </c>
      <c r="AQ33" s="9" t="s">
        <v>308</v>
      </c>
      <c r="AR33" s="9" t="s">
        <v>309</v>
      </c>
      <c r="AS33" s="9" t="s">
        <v>310</v>
      </c>
      <c r="AT33" s="9" t="s">
        <v>311</v>
      </c>
      <c r="AU33" s="9" t="s">
        <v>312</v>
      </c>
      <c r="AV33" s="9" t="s">
        <v>313</v>
      </c>
      <c r="AW33" s="9" t="s">
        <v>314</v>
      </c>
      <c r="AX33" s="9" t="s">
        <v>315</v>
      </c>
      <c r="AY33" s="9" t="s">
        <v>316</v>
      </c>
      <c r="AZ33" s="9" t="s">
        <v>317</v>
      </c>
      <c r="BA33" s="9"/>
      <c r="BB33" s="9"/>
      <c r="BC33" s="9"/>
      <c r="BD33" s="9"/>
    </row>
    <row r="34" spans="1:79" s="74" customFormat="1" ht="84">
      <c r="A34" s="59"/>
      <c r="B34" s="60"/>
      <c r="C34" s="61"/>
      <c r="D34" s="60"/>
      <c r="E34" s="62" t="s">
        <v>318</v>
      </c>
      <c r="F34" s="63" t="s">
        <v>319</v>
      </c>
      <c r="G34" s="64">
        <v>41036</v>
      </c>
      <c r="H34" s="63"/>
      <c r="I34" s="63"/>
      <c r="J34" s="64"/>
      <c r="K34" s="64"/>
      <c r="L34" s="64"/>
      <c r="M34" s="102"/>
      <c r="N34" s="81" t="s">
        <v>300</v>
      </c>
      <c r="O34" s="103">
        <v>52347.9</v>
      </c>
      <c r="P34" s="104">
        <v>52240.2</v>
      </c>
      <c r="Q34" s="104">
        <v>48840</v>
      </c>
      <c r="R34" s="104">
        <v>50102</v>
      </c>
      <c r="S34" s="105">
        <v>51893</v>
      </c>
      <c r="T34" s="104">
        <v>51893</v>
      </c>
      <c r="U34" s="103">
        <v>52347.9</v>
      </c>
      <c r="V34" s="104">
        <v>52240.2</v>
      </c>
      <c r="W34" s="104">
        <v>48840</v>
      </c>
      <c r="X34" s="104">
        <v>50102</v>
      </c>
      <c r="Y34" s="106">
        <v>51893</v>
      </c>
      <c r="Z34" s="104">
        <v>51893</v>
      </c>
      <c r="AA34" s="69">
        <f t="shared" si="10"/>
        <v>48840</v>
      </c>
      <c r="AB34" s="70">
        <f t="shared" si="11"/>
        <v>50102</v>
      </c>
      <c r="AC34" s="70">
        <f t="shared" si="12"/>
        <v>51893</v>
      </c>
      <c r="AD34" s="70">
        <f t="shared" si="13"/>
        <v>48840</v>
      </c>
      <c r="AE34" s="70">
        <f t="shared" si="14"/>
        <v>50102</v>
      </c>
      <c r="AF34" s="71">
        <f t="shared" si="15"/>
        <v>51893</v>
      </c>
      <c r="AG34" s="68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</row>
    <row r="35" spans="1:56" ht="128.25" customHeight="1">
      <c r="A35" s="8"/>
      <c r="B35" s="308" t="s">
        <v>320</v>
      </c>
      <c r="C35" s="309" t="s">
        <v>321</v>
      </c>
      <c r="D35" s="310">
        <v>2131</v>
      </c>
      <c r="E35" s="311" t="s">
        <v>73</v>
      </c>
      <c r="F35" s="312" t="s">
        <v>322</v>
      </c>
      <c r="G35" s="313">
        <v>37900</v>
      </c>
      <c r="H35" s="52"/>
      <c r="I35" s="52"/>
      <c r="J35" s="52"/>
      <c r="K35" s="86" t="s">
        <v>180</v>
      </c>
      <c r="L35" s="52" t="s">
        <v>181</v>
      </c>
      <c r="M35" s="84" t="s">
        <v>182</v>
      </c>
      <c r="N35" s="314" t="s">
        <v>323</v>
      </c>
      <c r="O35" s="315">
        <f>41837+131471+605+25000+8299.4</f>
        <v>207212.4</v>
      </c>
      <c r="P35" s="316">
        <f>41390.3+131381.3+604.2+25000+8235.7</f>
        <v>206611.5</v>
      </c>
      <c r="Q35" s="316">
        <v>257180.6</v>
      </c>
      <c r="R35" s="316">
        <v>201547.2</v>
      </c>
      <c r="S35" s="316">
        <v>209616.1</v>
      </c>
      <c r="T35" s="316">
        <v>209616.1</v>
      </c>
      <c r="U35" s="315">
        <f>41837+131471+605+25000+8299.4</f>
        <v>207212.4</v>
      </c>
      <c r="V35" s="316">
        <f>41390.3+131381.3+604.2+25000+8235.7</f>
        <v>206611.5</v>
      </c>
      <c r="W35" s="316">
        <v>257180.6</v>
      </c>
      <c r="X35" s="316">
        <v>201547.2</v>
      </c>
      <c r="Y35" s="316">
        <v>209616.1</v>
      </c>
      <c r="Z35" s="316">
        <v>209616.1</v>
      </c>
      <c r="AA35" s="315">
        <f t="shared" si="10"/>
        <v>257180.6</v>
      </c>
      <c r="AB35" s="316">
        <f t="shared" si="11"/>
        <v>201547.2</v>
      </c>
      <c r="AC35" s="316">
        <f t="shared" si="12"/>
        <v>209616.1</v>
      </c>
      <c r="AD35" s="316">
        <f t="shared" si="13"/>
        <v>257180.6</v>
      </c>
      <c r="AE35" s="316">
        <f t="shared" si="14"/>
        <v>201547.2</v>
      </c>
      <c r="AF35" s="317">
        <f t="shared" si="15"/>
        <v>209616.1</v>
      </c>
      <c r="AG35" s="316" t="s">
        <v>80</v>
      </c>
      <c r="AH35" s="9"/>
      <c r="AI35" s="9"/>
      <c r="AJ35" s="9" t="s">
        <v>324</v>
      </c>
      <c r="AK35" s="9" t="s">
        <v>325</v>
      </c>
      <c r="AL35" s="9" t="s">
        <v>326</v>
      </c>
      <c r="AM35" s="9" t="s">
        <v>327</v>
      </c>
      <c r="AN35" s="9" t="s">
        <v>328</v>
      </c>
      <c r="AO35" s="9" t="s">
        <v>329</v>
      </c>
      <c r="AP35" s="9" t="s">
        <v>330</v>
      </c>
      <c r="AQ35" s="9" t="s">
        <v>331</v>
      </c>
      <c r="AR35" s="9" t="s">
        <v>332</v>
      </c>
      <c r="AS35" s="9" t="s">
        <v>333</v>
      </c>
      <c r="AT35" s="9" t="s">
        <v>334</v>
      </c>
      <c r="AU35" s="9" t="s">
        <v>335</v>
      </c>
      <c r="AV35" s="9" t="s">
        <v>336</v>
      </c>
      <c r="AW35" s="9" t="s">
        <v>337</v>
      </c>
      <c r="AX35" s="9" t="s">
        <v>338</v>
      </c>
      <c r="AY35" s="9" t="s">
        <v>339</v>
      </c>
      <c r="AZ35" s="9" t="s">
        <v>340</v>
      </c>
      <c r="BA35" s="9"/>
      <c r="BB35" s="9"/>
      <c r="BC35" s="9"/>
      <c r="BD35" s="9"/>
    </row>
    <row r="36" spans="1:56" ht="120">
      <c r="A36" s="8"/>
      <c r="B36" s="308"/>
      <c r="C36" s="309"/>
      <c r="D36" s="310"/>
      <c r="E36" s="311"/>
      <c r="F36" s="312"/>
      <c r="G36" s="313"/>
      <c r="H36" s="52"/>
      <c r="I36" s="52"/>
      <c r="J36" s="52"/>
      <c r="K36" s="86" t="s">
        <v>341</v>
      </c>
      <c r="L36" s="92" t="s">
        <v>342</v>
      </c>
      <c r="M36" s="93" t="s">
        <v>299</v>
      </c>
      <c r="N36" s="314"/>
      <c r="O36" s="315"/>
      <c r="P36" s="316"/>
      <c r="Q36" s="316"/>
      <c r="R36" s="316"/>
      <c r="S36" s="316"/>
      <c r="T36" s="316"/>
      <c r="U36" s="315"/>
      <c r="V36" s="316"/>
      <c r="W36" s="316"/>
      <c r="X36" s="316"/>
      <c r="Y36" s="316"/>
      <c r="Z36" s="316"/>
      <c r="AA36" s="315"/>
      <c r="AB36" s="316"/>
      <c r="AC36" s="316"/>
      <c r="AD36" s="316"/>
      <c r="AE36" s="316"/>
      <c r="AF36" s="317"/>
      <c r="AG36" s="316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79" s="74" customFormat="1" ht="89.25">
      <c r="A37" s="59"/>
      <c r="B37" s="60"/>
      <c r="C37" s="61"/>
      <c r="D37" s="60"/>
      <c r="E37" s="107" t="s">
        <v>318</v>
      </c>
      <c r="F37" s="63" t="s">
        <v>319</v>
      </c>
      <c r="G37" s="64">
        <v>41036</v>
      </c>
      <c r="H37" s="63"/>
      <c r="I37" s="63"/>
      <c r="J37" s="63"/>
      <c r="K37" s="63"/>
      <c r="L37" s="63"/>
      <c r="M37" s="65"/>
      <c r="N37" s="81" t="s">
        <v>300</v>
      </c>
      <c r="O37" s="103">
        <f>106533.2</f>
        <v>106533.2</v>
      </c>
      <c r="P37" s="104">
        <f>105189.8</f>
        <v>105189.8</v>
      </c>
      <c r="Q37" s="104">
        <f>91893.1</f>
        <v>91893.1</v>
      </c>
      <c r="R37" s="104">
        <f>92440.3</f>
        <v>92440.3</v>
      </c>
      <c r="S37" s="106">
        <f>96304.8</f>
        <v>96304.8</v>
      </c>
      <c r="T37" s="106">
        <f>96304.8</f>
        <v>96304.8</v>
      </c>
      <c r="U37" s="103">
        <f>106533.2</f>
        <v>106533.2</v>
      </c>
      <c r="V37" s="104">
        <f>105189.8</f>
        <v>105189.8</v>
      </c>
      <c r="W37" s="104">
        <f>91893.1</f>
        <v>91893.1</v>
      </c>
      <c r="X37" s="104">
        <f>92440.3</f>
        <v>92440.3</v>
      </c>
      <c r="Y37" s="106">
        <f>96304.8</f>
        <v>96304.8</v>
      </c>
      <c r="Z37" s="106">
        <f>96304.8</f>
        <v>96304.8</v>
      </c>
      <c r="AA37" s="69">
        <f aca="true" t="shared" si="16" ref="AA37:AA44">Q37</f>
        <v>91893.1</v>
      </c>
      <c r="AB37" s="70">
        <f>R37</f>
        <v>92440.3</v>
      </c>
      <c r="AC37" s="70">
        <f>S37</f>
        <v>96304.8</v>
      </c>
      <c r="AD37" s="70">
        <f aca="true" t="shared" si="17" ref="AD37:AD44">W37</f>
        <v>91893.1</v>
      </c>
      <c r="AE37" s="70">
        <f>X37</f>
        <v>92440.3</v>
      </c>
      <c r="AF37" s="71">
        <f>Y37</f>
        <v>96304.8</v>
      </c>
      <c r="AG37" s="68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</row>
    <row r="38" spans="1:79" s="10" customFormat="1" ht="114" customHeight="1">
      <c r="A38" s="8"/>
      <c r="B38" s="49" t="s">
        <v>343</v>
      </c>
      <c r="C38" s="75" t="s">
        <v>344</v>
      </c>
      <c r="D38" s="49">
        <v>2534</v>
      </c>
      <c r="E38" s="44" t="s">
        <v>73</v>
      </c>
      <c r="F38" s="52" t="s">
        <v>345</v>
      </c>
      <c r="G38" s="58">
        <v>37900</v>
      </c>
      <c r="H38" s="86"/>
      <c r="I38" s="52"/>
      <c r="J38" s="52"/>
      <c r="K38" s="86" t="s">
        <v>346</v>
      </c>
      <c r="L38" s="52" t="s">
        <v>77</v>
      </c>
      <c r="M38" s="53" t="s">
        <v>232</v>
      </c>
      <c r="N38" s="54" t="s">
        <v>347</v>
      </c>
      <c r="O38" s="108">
        <v>198331.2</v>
      </c>
      <c r="P38" s="56">
        <v>197951.2</v>
      </c>
      <c r="Q38" s="56">
        <f>186345.1-3500</f>
        <v>182845.1</v>
      </c>
      <c r="R38" s="56">
        <f>173280-7000</f>
        <v>166280</v>
      </c>
      <c r="S38" s="56">
        <f>180380-7000</f>
        <v>173380</v>
      </c>
      <c r="T38" s="56">
        <f>180380-7000</f>
        <v>173380</v>
      </c>
      <c r="U38" s="108">
        <v>198331.2</v>
      </c>
      <c r="V38" s="56">
        <v>197951.2</v>
      </c>
      <c r="W38" s="56">
        <f>186345.1-3500</f>
        <v>182845.1</v>
      </c>
      <c r="X38" s="56">
        <f>173280-7000</f>
        <v>166280</v>
      </c>
      <c r="Y38" s="56">
        <f>180380-7000</f>
        <v>173380</v>
      </c>
      <c r="Z38" s="56">
        <f>180380-7000</f>
        <v>173380</v>
      </c>
      <c r="AA38" s="55">
        <f t="shared" si="16"/>
        <v>182845.1</v>
      </c>
      <c r="AB38" s="56">
        <f>R38</f>
        <v>166280</v>
      </c>
      <c r="AC38" s="56">
        <f>S38</f>
        <v>173380</v>
      </c>
      <c r="AD38" s="56">
        <f t="shared" si="17"/>
        <v>182845.1</v>
      </c>
      <c r="AE38" s="56">
        <f>X38</f>
        <v>166280</v>
      </c>
      <c r="AF38" s="57">
        <f>Y38</f>
        <v>173380</v>
      </c>
      <c r="AG38" s="56" t="s">
        <v>80</v>
      </c>
      <c r="AH38" s="9"/>
      <c r="AI38" s="9"/>
      <c r="AJ38" s="9" t="s">
        <v>348</v>
      </c>
      <c r="AK38" s="9" t="s">
        <v>349</v>
      </c>
      <c r="AL38" s="9" t="s">
        <v>350</v>
      </c>
      <c r="AM38" s="9" t="s">
        <v>351</v>
      </c>
      <c r="AN38" s="9" t="s">
        <v>352</v>
      </c>
      <c r="AO38" s="9" t="s">
        <v>353</v>
      </c>
      <c r="AP38" s="9" t="s">
        <v>354</v>
      </c>
      <c r="AQ38" s="9" t="s">
        <v>355</v>
      </c>
      <c r="AR38" s="9" t="s">
        <v>356</v>
      </c>
      <c r="AS38" s="9" t="s">
        <v>357</v>
      </c>
      <c r="AT38" s="9" t="s">
        <v>358</v>
      </c>
      <c r="AU38" s="9" t="s">
        <v>359</v>
      </c>
      <c r="AV38" s="9" t="s">
        <v>360</v>
      </c>
      <c r="AW38" s="9" t="s">
        <v>361</v>
      </c>
      <c r="AX38" s="9" t="s">
        <v>362</v>
      </c>
      <c r="AY38" s="9" t="s">
        <v>363</v>
      </c>
      <c r="AZ38" s="9" t="s">
        <v>364</v>
      </c>
      <c r="BA38" s="9"/>
      <c r="BB38" s="9"/>
      <c r="BC38" s="9"/>
      <c r="BD38" s="9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74" customFormat="1" ht="117.75" customHeight="1">
      <c r="A39" s="59"/>
      <c r="B39" s="60"/>
      <c r="C39" s="61"/>
      <c r="D39" s="60"/>
      <c r="E39" s="62" t="s">
        <v>365</v>
      </c>
      <c r="F39" s="91"/>
      <c r="G39" s="90"/>
      <c r="H39" s="91"/>
      <c r="I39" s="63"/>
      <c r="J39" s="63"/>
      <c r="K39" s="63"/>
      <c r="L39" s="63"/>
      <c r="M39" s="65"/>
      <c r="N39" s="81" t="s">
        <v>366</v>
      </c>
      <c r="O39" s="68">
        <f>1666.7</f>
        <v>1666.7</v>
      </c>
      <c r="P39" s="68">
        <f>1666.7</f>
        <v>1666.7</v>
      </c>
      <c r="Q39" s="68">
        <f>2222.2</f>
        <v>2222.2</v>
      </c>
      <c r="R39" s="70"/>
      <c r="S39" s="70"/>
      <c r="T39" s="71"/>
      <c r="U39" s="67">
        <f>1666.7</f>
        <v>1666.7</v>
      </c>
      <c r="V39" s="68">
        <f>1666.7</f>
        <v>1666.7</v>
      </c>
      <c r="W39" s="68">
        <f>2222.2</f>
        <v>2222.2</v>
      </c>
      <c r="X39" s="70"/>
      <c r="Y39" s="70"/>
      <c r="Z39" s="109"/>
      <c r="AA39" s="69">
        <f t="shared" si="16"/>
        <v>2222.2</v>
      </c>
      <c r="AB39" s="70"/>
      <c r="AC39" s="70"/>
      <c r="AD39" s="70">
        <f t="shared" si="17"/>
        <v>2222.2</v>
      </c>
      <c r="AE39" s="70"/>
      <c r="AF39" s="71"/>
      <c r="AG39" s="70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</row>
    <row r="40" spans="1:79" s="10" customFormat="1" ht="114" customHeight="1">
      <c r="A40" s="8"/>
      <c r="B40" s="49" t="s">
        <v>367</v>
      </c>
      <c r="C40" s="75" t="s">
        <v>368</v>
      </c>
      <c r="D40" s="49">
        <v>2535</v>
      </c>
      <c r="E40" s="44" t="s">
        <v>73</v>
      </c>
      <c r="F40" s="52" t="s">
        <v>345</v>
      </c>
      <c r="G40" s="58">
        <v>37900</v>
      </c>
      <c r="H40" s="86"/>
      <c r="I40" s="52"/>
      <c r="J40" s="52"/>
      <c r="K40" s="86" t="s">
        <v>346</v>
      </c>
      <c r="L40" s="52" t="s">
        <v>77</v>
      </c>
      <c r="M40" s="53" t="s">
        <v>232</v>
      </c>
      <c r="N40" s="54" t="s">
        <v>366</v>
      </c>
      <c r="O40" s="108">
        <v>5700</v>
      </c>
      <c r="P40" s="56">
        <v>5697.6</v>
      </c>
      <c r="Q40" s="56">
        <v>3500</v>
      </c>
      <c r="R40" s="56">
        <v>7000</v>
      </c>
      <c r="S40" s="56">
        <v>7000</v>
      </c>
      <c r="T40" s="56">
        <v>7000</v>
      </c>
      <c r="U40" s="108">
        <v>5700</v>
      </c>
      <c r="V40" s="56">
        <v>5697.6</v>
      </c>
      <c r="W40" s="56">
        <v>3500</v>
      </c>
      <c r="X40" s="56">
        <v>7000</v>
      </c>
      <c r="Y40" s="56">
        <v>7000</v>
      </c>
      <c r="Z40" s="56">
        <v>7000</v>
      </c>
      <c r="AA40" s="55">
        <f t="shared" si="16"/>
        <v>3500</v>
      </c>
      <c r="AB40" s="56">
        <f>R40</f>
        <v>7000</v>
      </c>
      <c r="AC40" s="56">
        <f>S40</f>
        <v>7000</v>
      </c>
      <c r="AD40" s="56">
        <f t="shared" si="17"/>
        <v>3500</v>
      </c>
      <c r="AE40" s="56">
        <f>X40</f>
        <v>7000</v>
      </c>
      <c r="AF40" s="57">
        <f>Y40</f>
        <v>7000</v>
      </c>
      <c r="AG40" s="56" t="s">
        <v>80</v>
      </c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56" ht="165.75">
      <c r="A41" s="8"/>
      <c r="B41" s="49" t="s">
        <v>369</v>
      </c>
      <c r="C41" s="50" t="s">
        <v>370</v>
      </c>
      <c r="D41" s="51">
        <v>2536</v>
      </c>
      <c r="E41" s="44" t="s">
        <v>73</v>
      </c>
      <c r="F41" s="52" t="s">
        <v>371</v>
      </c>
      <c r="G41" s="58">
        <v>37900</v>
      </c>
      <c r="H41" s="52"/>
      <c r="I41" s="52"/>
      <c r="J41" s="52"/>
      <c r="K41" s="52" t="s">
        <v>372</v>
      </c>
      <c r="L41" s="52" t="s">
        <v>77</v>
      </c>
      <c r="M41" s="53" t="s">
        <v>373</v>
      </c>
      <c r="N41" s="54" t="s">
        <v>374</v>
      </c>
      <c r="O41" s="55">
        <v>81313.9</v>
      </c>
      <c r="P41" s="56">
        <v>81313.8</v>
      </c>
      <c r="Q41" s="56">
        <v>59509.7</v>
      </c>
      <c r="R41" s="56">
        <v>45600</v>
      </c>
      <c r="S41" s="56">
        <v>48510</v>
      </c>
      <c r="T41" s="56">
        <v>48510</v>
      </c>
      <c r="U41" s="55">
        <f>81313.9-16030.1</f>
        <v>65283.799999999996</v>
      </c>
      <c r="V41" s="56">
        <f>81313.8-16030.1</f>
        <v>65283.700000000004</v>
      </c>
      <c r="W41" s="56">
        <f>59509.7-8459.7</f>
        <v>51050</v>
      </c>
      <c r="X41" s="56">
        <v>45600</v>
      </c>
      <c r="Y41" s="56">
        <v>48510</v>
      </c>
      <c r="Z41" s="56">
        <v>48510</v>
      </c>
      <c r="AA41" s="55">
        <f t="shared" si="16"/>
        <v>59509.7</v>
      </c>
      <c r="AB41" s="56">
        <f>R41</f>
        <v>45600</v>
      </c>
      <c r="AC41" s="56">
        <f>S41</f>
        <v>48510</v>
      </c>
      <c r="AD41" s="56">
        <f t="shared" si="17"/>
        <v>51050</v>
      </c>
      <c r="AE41" s="56">
        <f>X41</f>
        <v>45600</v>
      </c>
      <c r="AF41" s="57">
        <f>Y41</f>
        <v>48510</v>
      </c>
      <c r="AG41" s="56" t="s">
        <v>80</v>
      </c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1:79" s="10" customFormat="1" ht="153" customHeight="1">
      <c r="A42" s="8"/>
      <c r="B42" s="49" t="s">
        <v>375</v>
      </c>
      <c r="C42" s="50" t="s">
        <v>376</v>
      </c>
      <c r="D42" s="51">
        <v>2538</v>
      </c>
      <c r="E42" s="44" t="s">
        <v>73</v>
      </c>
      <c r="F42" s="52" t="s">
        <v>377</v>
      </c>
      <c r="G42" s="58">
        <v>37900</v>
      </c>
      <c r="H42" s="52"/>
      <c r="I42" s="52"/>
      <c r="J42" s="52"/>
      <c r="K42" s="52" t="s">
        <v>372</v>
      </c>
      <c r="L42" s="52" t="s">
        <v>77</v>
      </c>
      <c r="M42" s="53" t="s">
        <v>373</v>
      </c>
      <c r="N42" s="54" t="s">
        <v>378</v>
      </c>
      <c r="O42" s="55">
        <f>2700.8+60489.5</f>
        <v>63190.3</v>
      </c>
      <c r="P42" s="56">
        <f>2473.5+57875.4</f>
        <v>60348.9</v>
      </c>
      <c r="Q42" s="56">
        <f>73317+3800</f>
        <v>77117</v>
      </c>
      <c r="R42" s="56">
        <f>76244+4000</f>
        <v>80244</v>
      </c>
      <c r="S42" s="56">
        <f>79285+4400</f>
        <v>83685</v>
      </c>
      <c r="T42" s="56">
        <f>79285+4400</f>
        <v>83685</v>
      </c>
      <c r="U42" s="55">
        <f>2700.8+60489.5</f>
        <v>63190.3</v>
      </c>
      <c r="V42" s="56">
        <f>2473.5+57875.4</f>
        <v>60348.9</v>
      </c>
      <c r="W42" s="56">
        <f>73317+3800</f>
        <v>77117</v>
      </c>
      <c r="X42" s="56">
        <f>76244+4000</f>
        <v>80244</v>
      </c>
      <c r="Y42" s="56">
        <f>79285+4400</f>
        <v>83685</v>
      </c>
      <c r="Z42" s="56">
        <f>79285+4400</f>
        <v>83685</v>
      </c>
      <c r="AA42" s="55">
        <f t="shared" si="16"/>
        <v>77117</v>
      </c>
      <c r="AB42" s="56">
        <f>R42</f>
        <v>80244</v>
      </c>
      <c r="AC42" s="56">
        <f>S42</f>
        <v>83685</v>
      </c>
      <c r="AD42" s="56">
        <f t="shared" si="17"/>
        <v>77117</v>
      </c>
      <c r="AE42" s="56">
        <f>X42</f>
        <v>80244</v>
      </c>
      <c r="AF42" s="57">
        <f>Y42</f>
        <v>83685</v>
      </c>
      <c r="AG42" s="56" t="s">
        <v>80</v>
      </c>
      <c r="AH42" s="9"/>
      <c r="AI42" s="9"/>
      <c r="AJ42" s="9" t="s">
        <v>379</v>
      </c>
      <c r="AK42" s="9" t="s">
        <v>380</v>
      </c>
      <c r="AL42" s="9" t="s">
        <v>381</v>
      </c>
      <c r="AM42" s="9" t="s">
        <v>382</v>
      </c>
      <c r="AN42" s="9" t="s">
        <v>383</v>
      </c>
      <c r="AO42" s="9" t="s">
        <v>384</v>
      </c>
      <c r="AP42" s="9" t="s">
        <v>385</v>
      </c>
      <c r="AQ42" s="9" t="s">
        <v>386</v>
      </c>
      <c r="AR42" s="9" t="s">
        <v>387</v>
      </c>
      <c r="AS42" s="9" t="s">
        <v>388</v>
      </c>
      <c r="AT42" s="9" t="s">
        <v>389</v>
      </c>
      <c r="AU42" s="9" t="s">
        <v>390</v>
      </c>
      <c r="AV42" s="9" t="s">
        <v>391</v>
      </c>
      <c r="AW42" s="9" t="s">
        <v>392</v>
      </c>
      <c r="AX42" s="9" t="s">
        <v>393</v>
      </c>
      <c r="AY42" s="9" t="s">
        <v>394</v>
      </c>
      <c r="AZ42" s="9" t="s">
        <v>395</v>
      </c>
      <c r="BA42" s="9"/>
      <c r="BB42" s="9"/>
      <c r="BC42" s="9"/>
      <c r="BD42" s="9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15" customFormat="1" ht="152.25" customHeight="1">
      <c r="A43" s="110"/>
      <c r="B43" s="49" t="s">
        <v>396</v>
      </c>
      <c r="C43" s="111" t="s">
        <v>397</v>
      </c>
      <c r="D43" s="49">
        <v>2541</v>
      </c>
      <c r="E43" s="44" t="s">
        <v>73</v>
      </c>
      <c r="F43" s="52" t="s">
        <v>398</v>
      </c>
      <c r="G43" s="58">
        <v>37900</v>
      </c>
      <c r="H43" s="112"/>
      <c r="I43" s="112"/>
      <c r="J43" s="112"/>
      <c r="K43" s="52" t="s">
        <v>372</v>
      </c>
      <c r="L43" s="52" t="s">
        <v>77</v>
      </c>
      <c r="M43" s="53" t="s">
        <v>373</v>
      </c>
      <c r="N43" s="54" t="s">
        <v>374</v>
      </c>
      <c r="O43" s="55">
        <f>129090.7+60697+29068.5</f>
        <v>218856.2</v>
      </c>
      <c r="P43" s="56">
        <f>127424.6+60583.8+29068.5</f>
        <v>217076.90000000002</v>
      </c>
      <c r="Q43" s="56">
        <f>103364+58000</f>
        <v>161364</v>
      </c>
      <c r="R43" s="56">
        <f>110800+60700</f>
        <v>171500</v>
      </c>
      <c r="S43" s="56">
        <f>116700+68000</f>
        <v>184700</v>
      </c>
      <c r="T43" s="56">
        <f>116700+68000</f>
        <v>184700</v>
      </c>
      <c r="U43" s="55">
        <f>129090.7+60697+29068.5-10697</f>
        <v>208159.2</v>
      </c>
      <c r="V43" s="56">
        <f>127424.6+60583.8+29068.5-10583.8</f>
        <v>206493.10000000003</v>
      </c>
      <c r="W43" s="56">
        <f>103364+58000-5000</f>
        <v>156364</v>
      </c>
      <c r="X43" s="56">
        <f>110800+60700-5000</f>
        <v>166500</v>
      </c>
      <c r="Y43" s="56">
        <f>116700+68000-10000</f>
        <v>174700</v>
      </c>
      <c r="Z43" s="56">
        <f>116700+68000-10000</f>
        <v>174700</v>
      </c>
      <c r="AA43" s="55">
        <f t="shared" si="16"/>
        <v>161364</v>
      </c>
      <c r="AB43" s="56">
        <f>R43</f>
        <v>171500</v>
      </c>
      <c r="AC43" s="56">
        <f>S43</f>
        <v>184700</v>
      </c>
      <c r="AD43" s="56">
        <f t="shared" si="17"/>
        <v>156364</v>
      </c>
      <c r="AE43" s="56">
        <f>X43</f>
        <v>166500</v>
      </c>
      <c r="AF43" s="57">
        <f>Y43</f>
        <v>174700</v>
      </c>
      <c r="AG43" s="56" t="s">
        <v>80</v>
      </c>
      <c r="AH43" s="113"/>
      <c r="AI43" s="113"/>
      <c r="AJ43" s="113" t="s">
        <v>399</v>
      </c>
      <c r="AK43" s="113" t="s">
        <v>400</v>
      </c>
      <c r="AL43" s="113" t="s">
        <v>401</v>
      </c>
      <c r="AM43" s="113" t="s">
        <v>402</v>
      </c>
      <c r="AN43" s="113" t="s">
        <v>403</v>
      </c>
      <c r="AO43" s="113" t="s">
        <v>404</v>
      </c>
      <c r="AP43" s="113" t="s">
        <v>405</v>
      </c>
      <c r="AQ43" s="113" t="s">
        <v>406</v>
      </c>
      <c r="AR43" s="113" t="s">
        <v>407</v>
      </c>
      <c r="AS43" s="113" t="s">
        <v>408</v>
      </c>
      <c r="AT43" s="113" t="s">
        <v>409</v>
      </c>
      <c r="AU43" s="113" t="s">
        <v>410</v>
      </c>
      <c r="AV43" s="113" t="s">
        <v>411</v>
      </c>
      <c r="AW43" s="113" t="s">
        <v>412</v>
      </c>
      <c r="AX43" s="113" t="s">
        <v>413</v>
      </c>
      <c r="AY43" s="113" t="s">
        <v>414</v>
      </c>
      <c r="AZ43" s="113" t="s">
        <v>415</v>
      </c>
      <c r="BA43" s="113"/>
      <c r="BB43" s="113"/>
      <c r="BC43" s="113"/>
      <c r="BD43" s="113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</row>
    <row r="44" spans="1:79" s="115" customFormat="1" ht="122.25" customHeight="1">
      <c r="A44" s="110"/>
      <c r="B44" s="308" t="s">
        <v>416</v>
      </c>
      <c r="C44" s="326" t="s">
        <v>417</v>
      </c>
      <c r="D44" s="308">
        <v>2542</v>
      </c>
      <c r="E44" s="311" t="s">
        <v>73</v>
      </c>
      <c r="F44" s="312" t="s">
        <v>418</v>
      </c>
      <c r="G44" s="313">
        <v>37900</v>
      </c>
      <c r="H44" s="312"/>
      <c r="I44" s="312"/>
      <c r="J44" s="312"/>
      <c r="K44" s="86" t="s">
        <v>419</v>
      </c>
      <c r="L44" s="52" t="s">
        <v>420</v>
      </c>
      <c r="M44" s="53" t="s">
        <v>421</v>
      </c>
      <c r="N44" s="314" t="s">
        <v>422</v>
      </c>
      <c r="O44" s="315">
        <f>155275.1+44731.7</f>
        <v>200006.8</v>
      </c>
      <c r="P44" s="316">
        <f>147852.6+41025.3</f>
        <v>188877.90000000002</v>
      </c>
      <c r="Q44" s="316">
        <f>45000+72127.5</f>
        <v>117127.5</v>
      </c>
      <c r="R44" s="316">
        <v>40000</v>
      </c>
      <c r="S44" s="316">
        <v>40000</v>
      </c>
      <c r="T44" s="316">
        <v>40000</v>
      </c>
      <c r="U44" s="315">
        <f>155275.1+44731.7</f>
        <v>200006.8</v>
      </c>
      <c r="V44" s="316">
        <f>147852.6+41025.3</f>
        <v>188877.90000000002</v>
      </c>
      <c r="W44" s="316">
        <f>45000+72127.5</f>
        <v>117127.5</v>
      </c>
      <c r="X44" s="316">
        <v>40000</v>
      </c>
      <c r="Y44" s="316">
        <v>40000</v>
      </c>
      <c r="Z44" s="316">
        <v>40000</v>
      </c>
      <c r="AA44" s="315">
        <f t="shared" si="16"/>
        <v>117127.5</v>
      </c>
      <c r="AB44" s="316">
        <f>R44</f>
        <v>40000</v>
      </c>
      <c r="AC44" s="316">
        <f>S44</f>
        <v>40000</v>
      </c>
      <c r="AD44" s="316">
        <f t="shared" si="17"/>
        <v>117127.5</v>
      </c>
      <c r="AE44" s="316">
        <f>X44</f>
        <v>40000</v>
      </c>
      <c r="AF44" s="317">
        <f>Y44</f>
        <v>40000</v>
      </c>
      <c r="AG44" s="316" t="s">
        <v>80</v>
      </c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</row>
    <row r="45" spans="1:79" s="115" customFormat="1" ht="116.25" customHeight="1">
      <c r="A45" s="110"/>
      <c r="B45" s="308"/>
      <c r="C45" s="326"/>
      <c r="D45" s="308"/>
      <c r="E45" s="311"/>
      <c r="F45" s="312"/>
      <c r="G45" s="313"/>
      <c r="H45" s="312"/>
      <c r="I45" s="312"/>
      <c r="J45" s="312"/>
      <c r="K45" s="86" t="s">
        <v>423</v>
      </c>
      <c r="L45" s="52" t="s">
        <v>77</v>
      </c>
      <c r="M45" s="53" t="s">
        <v>424</v>
      </c>
      <c r="N45" s="314"/>
      <c r="O45" s="315"/>
      <c r="P45" s="316"/>
      <c r="Q45" s="316"/>
      <c r="R45" s="316"/>
      <c r="S45" s="316"/>
      <c r="T45" s="316"/>
      <c r="U45" s="315"/>
      <c r="V45" s="316"/>
      <c r="W45" s="316"/>
      <c r="X45" s="316"/>
      <c r="Y45" s="316"/>
      <c r="Z45" s="316"/>
      <c r="AA45" s="315"/>
      <c r="AB45" s="316"/>
      <c r="AC45" s="316"/>
      <c r="AD45" s="316"/>
      <c r="AE45" s="316"/>
      <c r="AF45" s="317"/>
      <c r="AG45" s="316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</row>
    <row r="46" spans="1:79" s="74" customFormat="1" ht="152.25" customHeight="1">
      <c r="A46" s="59"/>
      <c r="B46" s="60"/>
      <c r="C46" s="61"/>
      <c r="D46" s="60"/>
      <c r="E46" s="62" t="s">
        <v>121</v>
      </c>
      <c r="F46" s="63"/>
      <c r="G46" s="64"/>
      <c r="H46" s="63"/>
      <c r="I46" s="63"/>
      <c r="J46" s="63"/>
      <c r="K46" s="63"/>
      <c r="L46" s="63"/>
      <c r="M46" s="65"/>
      <c r="N46" s="81" t="s">
        <v>374</v>
      </c>
      <c r="O46" s="67">
        <f>127346.6</f>
        <v>127346.6</v>
      </c>
      <c r="P46" s="68">
        <f>127346.6</f>
        <v>127346.6</v>
      </c>
      <c r="Q46" s="68">
        <f>20716.2</f>
        <v>20716.2</v>
      </c>
      <c r="R46" s="68"/>
      <c r="S46" s="68"/>
      <c r="T46" s="68"/>
      <c r="U46" s="67">
        <f>127346.6</f>
        <v>127346.6</v>
      </c>
      <c r="V46" s="68">
        <f>127346.6</f>
        <v>127346.6</v>
      </c>
      <c r="W46" s="68">
        <f>20716.2</f>
        <v>20716.2</v>
      </c>
      <c r="X46" s="68"/>
      <c r="Y46" s="68"/>
      <c r="Z46" s="116"/>
      <c r="AA46" s="69">
        <f aca="true" t="shared" si="18" ref="AA46:AA53">Q46</f>
        <v>20716.2</v>
      </c>
      <c r="AB46" s="70"/>
      <c r="AC46" s="70"/>
      <c r="AD46" s="70">
        <f aca="true" t="shared" si="19" ref="AD46:AD53">W46</f>
        <v>20716.2</v>
      </c>
      <c r="AE46" s="70"/>
      <c r="AF46" s="71"/>
      <c r="AG46" s="68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</row>
    <row r="47" spans="1:79" s="10" customFormat="1" ht="122.25" customHeight="1">
      <c r="A47" s="8"/>
      <c r="B47" s="117" t="s">
        <v>425</v>
      </c>
      <c r="C47" s="118" t="s">
        <v>426</v>
      </c>
      <c r="D47" s="119">
        <v>2543</v>
      </c>
      <c r="E47" s="52" t="s">
        <v>427</v>
      </c>
      <c r="F47" s="52" t="s">
        <v>428</v>
      </c>
      <c r="G47" s="58">
        <v>37900</v>
      </c>
      <c r="H47" s="120"/>
      <c r="I47" s="120"/>
      <c r="J47" s="120"/>
      <c r="K47" s="86" t="s">
        <v>423</v>
      </c>
      <c r="L47" s="52" t="s">
        <v>77</v>
      </c>
      <c r="M47" s="53" t="s">
        <v>429</v>
      </c>
      <c r="N47" s="121" t="s">
        <v>430</v>
      </c>
      <c r="O47" s="122"/>
      <c r="P47" s="87"/>
      <c r="Q47" s="87">
        <v>2000</v>
      </c>
      <c r="R47" s="87">
        <v>2000</v>
      </c>
      <c r="S47" s="87">
        <v>2000</v>
      </c>
      <c r="T47" s="87">
        <v>2000</v>
      </c>
      <c r="U47" s="122"/>
      <c r="V47" s="87"/>
      <c r="W47" s="87">
        <v>2000</v>
      </c>
      <c r="X47" s="87">
        <v>2000</v>
      </c>
      <c r="Y47" s="87">
        <v>2000</v>
      </c>
      <c r="Z47" s="87">
        <v>2000</v>
      </c>
      <c r="AA47" s="55">
        <f t="shared" si="18"/>
        <v>2000</v>
      </c>
      <c r="AB47" s="56">
        <f aca="true" t="shared" si="20" ref="AB47:AB53">R47</f>
        <v>2000</v>
      </c>
      <c r="AC47" s="56">
        <f aca="true" t="shared" si="21" ref="AC47:AC53">S47</f>
        <v>2000</v>
      </c>
      <c r="AD47" s="56">
        <f t="shared" si="19"/>
        <v>2000</v>
      </c>
      <c r="AE47" s="56">
        <f aca="true" t="shared" si="22" ref="AE47:AE53">X47</f>
        <v>2000</v>
      </c>
      <c r="AF47" s="57">
        <f aca="true" t="shared" si="23" ref="AF47:AF53">Y47</f>
        <v>2000</v>
      </c>
      <c r="AG47" s="123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1:56" ht="153" customHeight="1">
      <c r="A48" s="8"/>
      <c r="B48" s="49" t="s">
        <v>431</v>
      </c>
      <c r="C48" s="85" t="s">
        <v>432</v>
      </c>
      <c r="D48" s="51">
        <v>2544</v>
      </c>
      <c r="E48" s="44" t="s">
        <v>73</v>
      </c>
      <c r="F48" s="52" t="s">
        <v>433</v>
      </c>
      <c r="G48" s="58">
        <v>37900</v>
      </c>
      <c r="H48" s="52"/>
      <c r="I48" s="52"/>
      <c r="J48" s="52"/>
      <c r="K48" s="52" t="s">
        <v>76</v>
      </c>
      <c r="L48" s="52" t="s">
        <v>77</v>
      </c>
      <c r="M48" s="53" t="s">
        <v>232</v>
      </c>
      <c r="N48" s="54" t="s">
        <v>434</v>
      </c>
      <c r="O48" s="55">
        <f>21174.9+765.2+45374.8</f>
        <v>67314.90000000001</v>
      </c>
      <c r="P48" s="56">
        <f>21174.9+625.7+45087.1</f>
        <v>66887.7</v>
      </c>
      <c r="Q48" s="56">
        <f>48347+1191.3</f>
        <v>49538.3</v>
      </c>
      <c r="R48" s="56">
        <f>50239.5+1281.3+8004.1</f>
        <v>59524.9</v>
      </c>
      <c r="S48" s="56">
        <f>52318.7+1213</f>
        <v>53531.7</v>
      </c>
      <c r="T48" s="56">
        <f>52318.7+1213</f>
        <v>53531.7</v>
      </c>
      <c r="U48" s="55">
        <f>21174.9+765.2+45374.8-21174.9</f>
        <v>46140.00000000001</v>
      </c>
      <c r="V48" s="56">
        <f>21174.9+625.7+45087.1-21174.9</f>
        <v>45712.799999999996</v>
      </c>
      <c r="W48" s="56">
        <f>48347+1191.3</f>
        <v>49538.3</v>
      </c>
      <c r="X48" s="56">
        <f>50239.5+1281.3+8004.1-8004.1</f>
        <v>51520.8</v>
      </c>
      <c r="Y48" s="56">
        <f>52318.7+1213</f>
        <v>53531.7</v>
      </c>
      <c r="Z48" s="56">
        <f>52318.7+1213</f>
        <v>53531.7</v>
      </c>
      <c r="AA48" s="55">
        <f t="shared" si="18"/>
        <v>49538.3</v>
      </c>
      <c r="AB48" s="56">
        <f t="shared" si="20"/>
        <v>59524.9</v>
      </c>
      <c r="AC48" s="56">
        <f t="shared" si="21"/>
        <v>53531.7</v>
      </c>
      <c r="AD48" s="56">
        <f t="shared" si="19"/>
        <v>49538.3</v>
      </c>
      <c r="AE48" s="56">
        <f t="shared" si="22"/>
        <v>51520.8</v>
      </c>
      <c r="AF48" s="57">
        <f t="shared" si="23"/>
        <v>53531.7</v>
      </c>
      <c r="AG48" s="56"/>
      <c r="AH48" s="9"/>
      <c r="AI48" s="9"/>
      <c r="AJ48" s="9" t="s">
        <v>435</v>
      </c>
      <c r="AK48" s="9" t="s">
        <v>436</v>
      </c>
      <c r="AL48" s="9" t="s">
        <v>437</v>
      </c>
      <c r="AM48" s="9" t="s">
        <v>438</v>
      </c>
      <c r="AN48" s="9" t="s">
        <v>439</v>
      </c>
      <c r="AO48" s="9" t="s">
        <v>440</v>
      </c>
      <c r="AP48" s="9" t="s">
        <v>441</v>
      </c>
      <c r="AQ48" s="9" t="s">
        <v>442</v>
      </c>
      <c r="AR48" s="9" t="s">
        <v>443</v>
      </c>
      <c r="AS48" s="9" t="s">
        <v>444</v>
      </c>
      <c r="AT48" s="9" t="s">
        <v>445</v>
      </c>
      <c r="AU48" s="9" t="s">
        <v>446</v>
      </c>
      <c r="AV48" s="9" t="s">
        <v>447</v>
      </c>
      <c r="AW48" s="9" t="s">
        <v>448</v>
      </c>
      <c r="AX48" s="9" t="s">
        <v>449</v>
      </c>
      <c r="AY48" s="9" t="s">
        <v>450</v>
      </c>
      <c r="AZ48" s="9" t="s">
        <v>451</v>
      </c>
      <c r="BA48" s="9"/>
      <c r="BB48" s="9"/>
      <c r="BC48" s="9"/>
      <c r="BD48" s="9"/>
    </row>
    <row r="49" spans="1:56" ht="151.5" customHeight="1">
      <c r="A49" s="8"/>
      <c r="B49" s="49" t="s">
        <v>452</v>
      </c>
      <c r="C49" s="50" t="s">
        <v>453</v>
      </c>
      <c r="D49" s="51">
        <v>2547</v>
      </c>
      <c r="E49" s="44" t="s">
        <v>73</v>
      </c>
      <c r="F49" s="52" t="s">
        <v>454</v>
      </c>
      <c r="G49" s="58">
        <v>37900</v>
      </c>
      <c r="H49" s="52"/>
      <c r="I49" s="52"/>
      <c r="J49" s="58"/>
      <c r="K49" s="52" t="s">
        <v>204</v>
      </c>
      <c r="L49" s="52" t="s">
        <v>77</v>
      </c>
      <c r="M49" s="84" t="s">
        <v>232</v>
      </c>
      <c r="N49" s="54" t="s">
        <v>455</v>
      </c>
      <c r="O49" s="55">
        <v>34134</v>
      </c>
      <c r="P49" s="56">
        <v>33660.2</v>
      </c>
      <c r="Q49" s="56">
        <v>37670</v>
      </c>
      <c r="R49" s="56">
        <v>39195</v>
      </c>
      <c r="S49" s="56">
        <v>40855</v>
      </c>
      <c r="T49" s="56">
        <v>40855</v>
      </c>
      <c r="U49" s="55">
        <v>34134</v>
      </c>
      <c r="V49" s="56">
        <v>33660.2</v>
      </c>
      <c r="W49" s="56">
        <v>37670</v>
      </c>
      <c r="X49" s="56">
        <v>39195</v>
      </c>
      <c r="Y49" s="56">
        <v>40855</v>
      </c>
      <c r="Z49" s="56">
        <v>40855</v>
      </c>
      <c r="AA49" s="55">
        <f t="shared" si="18"/>
        <v>37670</v>
      </c>
      <c r="AB49" s="56">
        <f t="shared" si="20"/>
        <v>39195</v>
      </c>
      <c r="AC49" s="56">
        <f t="shared" si="21"/>
        <v>40855</v>
      </c>
      <c r="AD49" s="56">
        <f t="shared" si="19"/>
        <v>37670</v>
      </c>
      <c r="AE49" s="56">
        <f t="shared" si="22"/>
        <v>39195</v>
      </c>
      <c r="AF49" s="57">
        <f t="shared" si="23"/>
        <v>40855</v>
      </c>
      <c r="AG49" s="56"/>
      <c r="AH49" s="9"/>
      <c r="AI49" s="9"/>
      <c r="AJ49" s="9" t="s">
        <v>456</v>
      </c>
      <c r="AK49" s="9" t="s">
        <v>457</v>
      </c>
      <c r="AL49" s="9" t="s">
        <v>458</v>
      </c>
      <c r="AM49" s="9" t="s">
        <v>459</v>
      </c>
      <c r="AN49" s="9" t="s">
        <v>460</v>
      </c>
      <c r="AO49" s="9" t="s">
        <v>461</v>
      </c>
      <c r="AP49" s="9" t="s">
        <v>462</v>
      </c>
      <c r="AQ49" s="9" t="s">
        <v>463</v>
      </c>
      <c r="AR49" s="9" t="s">
        <v>464</v>
      </c>
      <c r="AS49" s="9" t="s">
        <v>465</v>
      </c>
      <c r="AT49" s="9" t="s">
        <v>466</v>
      </c>
      <c r="AU49" s="9" t="s">
        <v>467</v>
      </c>
      <c r="AV49" s="9" t="s">
        <v>468</v>
      </c>
      <c r="AW49" s="9" t="s">
        <v>469</v>
      </c>
      <c r="AX49" s="9" t="s">
        <v>470</v>
      </c>
      <c r="AY49" s="9" t="s">
        <v>471</v>
      </c>
      <c r="AZ49" s="9" t="s">
        <v>472</v>
      </c>
      <c r="BA49" s="9"/>
      <c r="BB49" s="9"/>
      <c r="BC49" s="9"/>
      <c r="BD49" s="9"/>
    </row>
    <row r="50" spans="1:56" s="96" customFormat="1" ht="178.5">
      <c r="A50" s="124"/>
      <c r="B50" s="49" t="s">
        <v>473</v>
      </c>
      <c r="C50" s="75" t="s">
        <v>474</v>
      </c>
      <c r="D50" s="49">
        <v>2553</v>
      </c>
      <c r="E50" s="44" t="s">
        <v>475</v>
      </c>
      <c r="F50" s="52" t="s">
        <v>476</v>
      </c>
      <c r="G50" s="58">
        <v>37900</v>
      </c>
      <c r="H50" s="52"/>
      <c r="I50" s="52"/>
      <c r="J50" s="58"/>
      <c r="K50" s="52" t="s">
        <v>477</v>
      </c>
      <c r="L50" s="52" t="s">
        <v>77</v>
      </c>
      <c r="M50" s="84" t="s">
        <v>373</v>
      </c>
      <c r="N50" s="54" t="s">
        <v>478</v>
      </c>
      <c r="O50" s="55">
        <f>105+29186.7+2081.1</f>
        <v>31372.8</v>
      </c>
      <c r="P50" s="56">
        <f>105+29150.5+2081.1</f>
        <v>31336.6</v>
      </c>
      <c r="Q50" s="56">
        <f>23221.7+25000+112</f>
        <v>48333.7</v>
      </c>
      <c r="R50" s="56">
        <f>23727.3+112</f>
        <v>23839.3</v>
      </c>
      <c r="S50" s="56">
        <f>23750.2+112</f>
        <v>23862.2</v>
      </c>
      <c r="T50" s="56">
        <f>23750.2+112</f>
        <v>23862.2</v>
      </c>
      <c r="U50" s="55">
        <f>105+29186.7+2081.1</f>
        <v>31372.8</v>
      </c>
      <c r="V50" s="56">
        <f>105+29150.5+2081.1</f>
        <v>31336.6</v>
      </c>
      <c r="W50" s="56">
        <f>23221.7+25000+112</f>
        <v>48333.7</v>
      </c>
      <c r="X50" s="56">
        <f>23727.3+112</f>
        <v>23839.3</v>
      </c>
      <c r="Y50" s="56">
        <f>23750.2+112</f>
        <v>23862.2</v>
      </c>
      <c r="Z50" s="56">
        <f>23750.2+112</f>
        <v>23862.2</v>
      </c>
      <c r="AA50" s="55">
        <f t="shared" si="18"/>
        <v>48333.7</v>
      </c>
      <c r="AB50" s="56">
        <f t="shared" si="20"/>
        <v>23839.3</v>
      </c>
      <c r="AC50" s="56">
        <f t="shared" si="21"/>
        <v>23862.2</v>
      </c>
      <c r="AD50" s="56">
        <f t="shared" si="19"/>
        <v>48333.7</v>
      </c>
      <c r="AE50" s="56">
        <f t="shared" si="22"/>
        <v>23839.3</v>
      </c>
      <c r="AF50" s="57">
        <f t="shared" si="23"/>
        <v>23862.2</v>
      </c>
      <c r="AG50" s="56" t="s">
        <v>80</v>
      </c>
      <c r="AH50" s="8"/>
      <c r="AI50" s="8"/>
      <c r="AJ50" s="8" t="s">
        <v>479</v>
      </c>
      <c r="AK50" s="8" t="s">
        <v>480</v>
      </c>
      <c r="AL50" s="8" t="s">
        <v>481</v>
      </c>
      <c r="AM50" s="8" t="s">
        <v>482</v>
      </c>
      <c r="AN50" s="8" t="s">
        <v>483</v>
      </c>
      <c r="AO50" s="8" t="s">
        <v>484</v>
      </c>
      <c r="AP50" s="8" t="s">
        <v>485</v>
      </c>
      <c r="AQ50" s="8" t="s">
        <v>486</v>
      </c>
      <c r="AR50" s="8" t="s">
        <v>487</v>
      </c>
      <c r="AS50" s="8" t="s">
        <v>488</v>
      </c>
      <c r="AT50" s="8" t="s">
        <v>489</v>
      </c>
      <c r="AU50" s="8" t="s">
        <v>490</v>
      </c>
      <c r="AV50" s="8" t="s">
        <v>491</v>
      </c>
      <c r="AW50" s="8" t="s">
        <v>492</v>
      </c>
      <c r="AX50" s="8" t="s">
        <v>493</v>
      </c>
      <c r="AY50" s="8" t="s">
        <v>494</v>
      </c>
      <c r="AZ50" s="8" t="s">
        <v>495</v>
      </c>
      <c r="BA50" s="8"/>
      <c r="BB50" s="8"/>
      <c r="BC50" s="8"/>
      <c r="BD50" s="8"/>
    </row>
    <row r="51" spans="1:56" s="96" customFormat="1" ht="141" customHeight="1">
      <c r="A51" s="124"/>
      <c r="B51" s="49" t="s">
        <v>496</v>
      </c>
      <c r="C51" s="75" t="s">
        <v>497</v>
      </c>
      <c r="D51" s="49">
        <v>2554</v>
      </c>
      <c r="E51" s="44" t="s">
        <v>475</v>
      </c>
      <c r="F51" s="52" t="s">
        <v>476</v>
      </c>
      <c r="G51" s="58">
        <v>37900</v>
      </c>
      <c r="H51" s="52"/>
      <c r="I51" s="52"/>
      <c r="J51" s="58"/>
      <c r="K51" s="52" t="s">
        <v>204</v>
      </c>
      <c r="L51" s="52" t="s">
        <v>77</v>
      </c>
      <c r="M51" s="84" t="s">
        <v>232</v>
      </c>
      <c r="N51" s="54" t="s">
        <v>498</v>
      </c>
      <c r="O51" s="55">
        <f>900+400+400</f>
        <v>1700</v>
      </c>
      <c r="P51" s="56">
        <f>900+400+150</f>
        <v>1450</v>
      </c>
      <c r="Q51" s="56">
        <f>940+900</f>
        <v>1840</v>
      </c>
      <c r="R51" s="56">
        <f>940+950</f>
        <v>1890</v>
      </c>
      <c r="S51" s="56">
        <f>940+950</f>
        <v>1890</v>
      </c>
      <c r="T51" s="56">
        <f>940+950</f>
        <v>1890</v>
      </c>
      <c r="U51" s="55">
        <f>900+400+400</f>
        <v>1700</v>
      </c>
      <c r="V51" s="56">
        <f>900+400+150</f>
        <v>1450</v>
      </c>
      <c r="W51" s="56">
        <f>940+900</f>
        <v>1840</v>
      </c>
      <c r="X51" s="56">
        <f>940+950</f>
        <v>1890</v>
      </c>
      <c r="Y51" s="56">
        <f>940+950</f>
        <v>1890</v>
      </c>
      <c r="Z51" s="56">
        <f>940+950</f>
        <v>1890</v>
      </c>
      <c r="AA51" s="55">
        <f t="shared" si="18"/>
        <v>1840</v>
      </c>
      <c r="AB51" s="56">
        <f t="shared" si="20"/>
        <v>1890</v>
      </c>
      <c r="AC51" s="56">
        <f t="shared" si="21"/>
        <v>1890</v>
      </c>
      <c r="AD51" s="56">
        <f t="shared" si="19"/>
        <v>1840</v>
      </c>
      <c r="AE51" s="56">
        <f t="shared" si="22"/>
        <v>1890</v>
      </c>
      <c r="AF51" s="57">
        <f t="shared" si="23"/>
        <v>1890</v>
      </c>
      <c r="AG51" s="56" t="s">
        <v>80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s="126" customFormat="1" ht="83.25" customHeight="1">
      <c r="A52" s="125"/>
      <c r="B52" s="60"/>
      <c r="C52" s="61"/>
      <c r="D52" s="60"/>
      <c r="E52" s="62" t="s">
        <v>318</v>
      </c>
      <c r="F52" s="63" t="s">
        <v>499</v>
      </c>
      <c r="G52" s="64"/>
      <c r="H52" s="63"/>
      <c r="I52" s="63"/>
      <c r="J52" s="64"/>
      <c r="K52" s="64"/>
      <c r="L52" s="64"/>
      <c r="M52" s="102"/>
      <c r="N52" s="81" t="s">
        <v>79</v>
      </c>
      <c r="O52" s="67">
        <f aca="true" t="shared" si="24" ref="O52:Z52">O51</f>
        <v>1700</v>
      </c>
      <c r="P52" s="68">
        <f t="shared" si="24"/>
        <v>1450</v>
      </c>
      <c r="Q52" s="68">
        <f t="shared" si="24"/>
        <v>1840</v>
      </c>
      <c r="R52" s="68">
        <f t="shared" si="24"/>
        <v>1890</v>
      </c>
      <c r="S52" s="68">
        <f t="shared" si="24"/>
        <v>1890</v>
      </c>
      <c r="T52" s="68">
        <f t="shared" si="24"/>
        <v>1890</v>
      </c>
      <c r="U52" s="67">
        <f t="shared" si="24"/>
        <v>1700</v>
      </c>
      <c r="V52" s="68">
        <f t="shared" si="24"/>
        <v>1450</v>
      </c>
      <c r="W52" s="68">
        <f t="shared" si="24"/>
        <v>1840</v>
      </c>
      <c r="X52" s="68">
        <f t="shared" si="24"/>
        <v>1890</v>
      </c>
      <c r="Y52" s="68">
        <f t="shared" si="24"/>
        <v>1890</v>
      </c>
      <c r="Z52" s="68">
        <f t="shared" si="24"/>
        <v>1890</v>
      </c>
      <c r="AA52" s="69">
        <f t="shared" si="18"/>
        <v>1840</v>
      </c>
      <c r="AB52" s="70">
        <f t="shared" si="20"/>
        <v>1890</v>
      </c>
      <c r="AC52" s="70">
        <f t="shared" si="21"/>
        <v>1890</v>
      </c>
      <c r="AD52" s="70">
        <f t="shared" si="19"/>
        <v>1840</v>
      </c>
      <c r="AE52" s="70">
        <f t="shared" si="22"/>
        <v>1890</v>
      </c>
      <c r="AF52" s="71">
        <f t="shared" si="23"/>
        <v>1890</v>
      </c>
      <c r="AG52" s="68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</row>
    <row r="53" spans="1:56" ht="107.25" customHeight="1">
      <c r="A53" s="8"/>
      <c r="B53" s="308" t="s">
        <v>500</v>
      </c>
      <c r="C53" s="309" t="s">
        <v>501</v>
      </c>
      <c r="D53" s="310">
        <v>2555</v>
      </c>
      <c r="E53" s="311" t="s">
        <v>502</v>
      </c>
      <c r="F53" s="312" t="s">
        <v>503</v>
      </c>
      <c r="G53" s="313">
        <v>37900</v>
      </c>
      <c r="H53" s="312"/>
      <c r="I53" s="312"/>
      <c r="J53" s="312"/>
      <c r="K53" s="44" t="s">
        <v>504</v>
      </c>
      <c r="L53" s="44" t="s">
        <v>77</v>
      </c>
      <c r="M53" s="127" t="s">
        <v>505</v>
      </c>
      <c r="N53" s="314" t="s">
        <v>506</v>
      </c>
      <c r="O53" s="315">
        <f>49537.7+8532.1+2550</f>
        <v>60619.799999999996</v>
      </c>
      <c r="P53" s="316">
        <f>49477.9+8531.1+2530</f>
        <v>60539</v>
      </c>
      <c r="Q53" s="316">
        <f>61862.6+8410.8+2550</f>
        <v>72823.4</v>
      </c>
      <c r="R53" s="316">
        <f>21363.9+8410.8+3000</f>
        <v>32774.7</v>
      </c>
      <c r="S53" s="316">
        <f>22078.9+10159.5+3000</f>
        <v>35238.4</v>
      </c>
      <c r="T53" s="316">
        <f>22078.9+10159.5+3000</f>
        <v>35238.4</v>
      </c>
      <c r="U53" s="315">
        <f>49537.7+8532.1+2550</f>
        <v>60619.799999999996</v>
      </c>
      <c r="V53" s="316">
        <f>49477.9+8531.1+2530</f>
        <v>60539</v>
      </c>
      <c r="W53" s="316">
        <f>61862.6+8410.8+2550</f>
        <v>72823.4</v>
      </c>
      <c r="X53" s="316">
        <f>21363.9+8410.8+3000</f>
        <v>32774.7</v>
      </c>
      <c r="Y53" s="316">
        <f>22078.9+10159.5+3000</f>
        <v>35238.4</v>
      </c>
      <c r="Z53" s="316">
        <f>22078.9+10159.5+3000</f>
        <v>35238.4</v>
      </c>
      <c r="AA53" s="315">
        <f t="shared" si="18"/>
        <v>72823.4</v>
      </c>
      <c r="AB53" s="316">
        <f t="shared" si="20"/>
        <v>32774.7</v>
      </c>
      <c r="AC53" s="316">
        <f t="shared" si="21"/>
        <v>35238.4</v>
      </c>
      <c r="AD53" s="316">
        <f t="shared" si="19"/>
        <v>72823.4</v>
      </c>
      <c r="AE53" s="316">
        <f t="shared" si="22"/>
        <v>32774.7</v>
      </c>
      <c r="AF53" s="317">
        <f t="shared" si="23"/>
        <v>35238.4</v>
      </c>
      <c r="AG53" s="316" t="s">
        <v>80</v>
      </c>
      <c r="AH53" s="9"/>
      <c r="AI53" s="9"/>
      <c r="AJ53" s="9" t="s">
        <v>507</v>
      </c>
      <c r="AK53" s="9" t="s">
        <v>508</v>
      </c>
      <c r="AL53" s="9" t="s">
        <v>509</v>
      </c>
      <c r="AM53" s="9" t="s">
        <v>510</v>
      </c>
      <c r="AN53" s="9" t="s">
        <v>511</v>
      </c>
      <c r="AO53" s="9" t="s">
        <v>512</v>
      </c>
      <c r="AP53" s="9" t="s">
        <v>513</v>
      </c>
      <c r="AQ53" s="9" t="s">
        <v>514</v>
      </c>
      <c r="AR53" s="9" t="s">
        <v>515</v>
      </c>
      <c r="AS53" s="9" t="s">
        <v>516</v>
      </c>
      <c r="AT53" s="9" t="s">
        <v>517</v>
      </c>
      <c r="AU53" s="9" t="s">
        <v>518</v>
      </c>
      <c r="AV53" s="9" t="s">
        <v>519</v>
      </c>
      <c r="AW53" s="9" t="s">
        <v>520</v>
      </c>
      <c r="AX53" s="9" t="s">
        <v>521</v>
      </c>
      <c r="AY53" s="9" t="s">
        <v>522</v>
      </c>
      <c r="AZ53" s="9" t="s">
        <v>523</v>
      </c>
      <c r="BA53" s="9"/>
      <c r="BB53" s="9"/>
      <c r="BC53" s="9"/>
      <c r="BD53" s="9"/>
    </row>
    <row r="54" spans="1:56" ht="120" customHeight="1">
      <c r="A54" s="8"/>
      <c r="B54" s="308"/>
      <c r="C54" s="309"/>
      <c r="D54" s="310"/>
      <c r="E54" s="311"/>
      <c r="F54" s="312"/>
      <c r="G54" s="313"/>
      <c r="H54" s="312"/>
      <c r="I54" s="312"/>
      <c r="J54" s="312"/>
      <c r="K54" s="52" t="s">
        <v>254</v>
      </c>
      <c r="L54" s="52" t="s">
        <v>77</v>
      </c>
      <c r="M54" s="84" t="s">
        <v>524</v>
      </c>
      <c r="N54" s="314"/>
      <c r="O54" s="315"/>
      <c r="P54" s="316"/>
      <c r="Q54" s="316"/>
      <c r="R54" s="316"/>
      <c r="S54" s="316"/>
      <c r="T54" s="316"/>
      <c r="U54" s="315"/>
      <c r="V54" s="316"/>
      <c r="W54" s="316"/>
      <c r="X54" s="316"/>
      <c r="Y54" s="316"/>
      <c r="Z54" s="316"/>
      <c r="AA54" s="315"/>
      <c r="AB54" s="316"/>
      <c r="AC54" s="316"/>
      <c r="AD54" s="316"/>
      <c r="AE54" s="316"/>
      <c r="AF54" s="317"/>
      <c r="AG54" s="316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1:56" ht="141.75" customHeight="1">
      <c r="A55" s="8"/>
      <c r="B55" s="49" t="s">
        <v>525</v>
      </c>
      <c r="C55" s="50" t="s">
        <v>526</v>
      </c>
      <c r="D55" s="51">
        <v>2557</v>
      </c>
      <c r="E55" s="44" t="s">
        <v>502</v>
      </c>
      <c r="F55" s="52" t="s">
        <v>527</v>
      </c>
      <c r="G55" s="58">
        <v>37900</v>
      </c>
      <c r="H55" s="52"/>
      <c r="I55" s="52"/>
      <c r="J55" s="52"/>
      <c r="K55" s="52" t="s">
        <v>204</v>
      </c>
      <c r="L55" s="52" t="s">
        <v>77</v>
      </c>
      <c r="M55" s="84" t="s">
        <v>232</v>
      </c>
      <c r="N55" s="54" t="s">
        <v>79</v>
      </c>
      <c r="O55" s="128">
        <v>250</v>
      </c>
      <c r="P55" s="56">
        <v>250</v>
      </c>
      <c r="Q55" s="129">
        <v>250</v>
      </c>
      <c r="R55" s="129">
        <v>350</v>
      </c>
      <c r="S55" s="129">
        <v>350</v>
      </c>
      <c r="T55" s="129">
        <v>350</v>
      </c>
      <c r="U55" s="128">
        <v>250</v>
      </c>
      <c r="V55" s="56">
        <v>250</v>
      </c>
      <c r="W55" s="129">
        <v>250</v>
      </c>
      <c r="X55" s="129">
        <v>350</v>
      </c>
      <c r="Y55" s="129">
        <v>350</v>
      </c>
      <c r="Z55" s="129">
        <v>350</v>
      </c>
      <c r="AA55" s="55">
        <f>Q55</f>
        <v>250</v>
      </c>
      <c r="AB55" s="56">
        <f>R55</f>
        <v>350</v>
      </c>
      <c r="AC55" s="56">
        <f>S55</f>
        <v>350</v>
      </c>
      <c r="AD55" s="56">
        <f>W55</f>
        <v>250</v>
      </c>
      <c r="AE55" s="56">
        <f>X55</f>
        <v>350</v>
      </c>
      <c r="AF55" s="57">
        <f>Y55</f>
        <v>350</v>
      </c>
      <c r="AG55" s="56" t="s">
        <v>80</v>
      </c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1:56" s="126" customFormat="1" ht="79.5" customHeight="1">
      <c r="A56" s="125"/>
      <c r="B56" s="60"/>
      <c r="C56" s="61"/>
      <c r="D56" s="60"/>
      <c r="E56" s="62" t="s">
        <v>318</v>
      </c>
      <c r="F56" s="63" t="s">
        <v>499</v>
      </c>
      <c r="G56" s="64"/>
      <c r="H56" s="63"/>
      <c r="I56" s="63"/>
      <c r="J56" s="64"/>
      <c r="K56" s="64"/>
      <c r="L56" s="64"/>
      <c r="M56" s="102"/>
      <c r="N56" s="81" t="s">
        <v>79</v>
      </c>
      <c r="O56" s="67">
        <f aca="true" t="shared" si="25" ref="O56:Z56">O55</f>
        <v>250</v>
      </c>
      <c r="P56" s="68">
        <f t="shared" si="25"/>
        <v>250</v>
      </c>
      <c r="Q56" s="68">
        <f t="shared" si="25"/>
        <v>250</v>
      </c>
      <c r="R56" s="68">
        <f t="shared" si="25"/>
        <v>350</v>
      </c>
      <c r="S56" s="68">
        <f t="shared" si="25"/>
        <v>350</v>
      </c>
      <c r="T56" s="68">
        <f t="shared" si="25"/>
        <v>350</v>
      </c>
      <c r="U56" s="67">
        <f t="shared" si="25"/>
        <v>250</v>
      </c>
      <c r="V56" s="68">
        <f t="shared" si="25"/>
        <v>250</v>
      </c>
      <c r="W56" s="68">
        <f t="shared" si="25"/>
        <v>250</v>
      </c>
      <c r="X56" s="68">
        <f t="shared" si="25"/>
        <v>350</v>
      </c>
      <c r="Y56" s="68">
        <f t="shared" si="25"/>
        <v>350</v>
      </c>
      <c r="Z56" s="68">
        <f t="shared" si="25"/>
        <v>350</v>
      </c>
      <c r="AA56" s="69">
        <f>Q56</f>
        <v>250</v>
      </c>
      <c r="AB56" s="70">
        <f>R56</f>
        <v>350</v>
      </c>
      <c r="AC56" s="70">
        <f>S56</f>
        <v>350</v>
      </c>
      <c r="AD56" s="70">
        <f>W56</f>
        <v>250</v>
      </c>
      <c r="AE56" s="70">
        <f>X56</f>
        <v>350</v>
      </c>
      <c r="AF56" s="71">
        <f>Y56</f>
        <v>350</v>
      </c>
      <c r="AG56" s="68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</row>
    <row r="57" spans="1:56" ht="153" customHeight="1">
      <c r="A57" s="8"/>
      <c r="B57" s="49" t="s">
        <v>528</v>
      </c>
      <c r="C57" s="50" t="s">
        <v>529</v>
      </c>
      <c r="D57" s="51">
        <v>2561</v>
      </c>
      <c r="E57" s="44" t="s">
        <v>73</v>
      </c>
      <c r="F57" s="52" t="s">
        <v>530</v>
      </c>
      <c r="G57" s="58">
        <v>37900</v>
      </c>
      <c r="H57" s="52"/>
      <c r="I57" s="52"/>
      <c r="J57" s="52"/>
      <c r="K57" s="52" t="s">
        <v>76</v>
      </c>
      <c r="L57" s="52" t="s">
        <v>77</v>
      </c>
      <c r="M57" s="53" t="s">
        <v>232</v>
      </c>
      <c r="N57" s="54" t="s">
        <v>79</v>
      </c>
      <c r="O57" s="55">
        <v>1737.7</v>
      </c>
      <c r="P57" s="56">
        <v>1710.7</v>
      </c>
      <c r="Q57" s="129">
        <v>300</v>
      </c>
      <c r="R57" s="129">
        <v>5110</v>
      </c>
      <c r="S57" s="129">
        <v>2000</v>
      </c>
      <c r="T57" s="129">
        <v>2000</v>
      </c>
      <c r="U57" s="55">
        <v>1737.7</v>
      </c>
      <c r="V57" s="56">
        <v>1710.7</v>
      </c>
      <c r="W57" s="129">
        <v>300</v>
      </c>
      <c r="X57" s="129">
        <v>5110</v>
      </c>
      <c r="Y57" s="129">
        <v>2000</v>
      </c>
      <c r="Z57" s="129">
        <v>2000</v>
      </c>
      <c r="AA57" s="55">
        <f>Q57</f>
        <v>300</v>
      </c>
      <c r="AB57" s="56">
        <f>R57</f>
        <v>5110</v>
      </c>
      <c r="AC57" s="56">
        <f>S57</f>
        <v>2000</v>
      </c>
      <c r="AD57" s="56">
        <f>W57</f>
        <v>300</v>
      </c>
      <c r="AE57" s="56">
        <f>X57</f>
        <v>5110</v>
      </c>
      <c r="AF57" s="57">
        <f>Y57</f>
        <v>2000</v>
      </c>
      <c r="AG57" s="56" t="s">
        <v>80</v>
      </c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1:79" s="132" customFormat="1" ht="114" customHeight="1">
      <c r="A58" s="43"/>
      <c r="B58" s="24" t="s">
        <v>531</v>
      </c>
      <c r="C58" s="30" t="s">
        <v>532</v>
      </c>
      <c r="D58" s="31" t="s">
        <v>533</v>
      </c>
      <c r="E58" s="130"/>
      <c r="F58" s="45"/>
      <c r="G58" s="131"/>
      <c r="H58" s="45"/>
      <c r="I58" s="45"/>
      <c r="J58" s="45"/>
      <c r="K58" s="45"/>
      <c r="L58" s="45"/>
      <c r="M58" s="46"/>
      <c r="N58" s="35"/>
      <c r="O58" s="36">
        <f aca="true" t="shared" si="26" ref="O58:AF58">SUM(O59:O77)</f>
        <v>492468.19999999995</v>
      </c>
      <c r="P58" s="37">
        <f t="shared" si="26"/>
        <v>459624.19999999995</v>
      </c>
      <c r="Q58" s="37">
        <f t="shared" si="26"/>
        <v>536348</v>
      </c>
      <c r="R58" s="37">
        <f t="shared" si="26"/>
        <v>548659.1</v>
      </c>
      <c r="S58" s="37">
        <f t="shared" si="26"/>
        <v>563066.8</v>
      </c>
      <c r="T58" s="38">
        <f t="shared" si="26"/>
        <v>563066.8</v>
      </c>
      <c r="U58" s="36">
        <f t="shared" si="26"/>
        <v>490904.39999999997</v>
      </c>
      <c r="V58" s="37">
        <f t="shared" si="26"/>
        <v>458060.4</v>
      </c>
      <c r="W58" s="37">
        <f t="shared" si="26"/>
        <v>534348</v>
      </c>
      <c r="X58" s="37">
        <f t="shared" si="26"/>
        <v>546659.1</v>
      </c>
      <c r="Y58" s="37">
        <f t="shared" si="26"/>
        <v>561066.8</v>
      </c>
      <c r="Z58" s="38">
        <f t="shared" si="26"/>
        <v>561066.8</v>
      </c>
      <c r="AA58" s="36">
        <f t="shared" si="26"/>
        <v>536348</v>
      </c>
      <c r="AB58" s="37">
        <f t="shared" si="26"/>
        <v>548659.1</v>
      </c>
      <c r="AC58" s="37">
        <f t="shared" si="26"/>
        <v>563066.8</v>
      </c>
      <c r="AD58" s="37">
        <f t="shared" si="26"/>
        <v>534348</v>
      </c>
      <c r="AE58" s="37">
        <f t="shared" si="26"/>
        <v>546659.1</v>
      </c>
      <c r="AF58" s="37">
        <f t="shared" si="26"/>
        <v>561066.8</v>
      </c>
      <c r="AG58" s="56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1:56" ht="46.5" customHeight="1">
      <c r="A59" s="8"/>
      <c r="B59" s="308" t="s">
        <v>534</v>
      </c>
      <c r="C59" s="326" t="s">
        <v>535</v>
      </c>
      <c r="D59" s="308">
        <v>2601</v>
      </c>
      <c r="E59" s="311" t="s">
        <v>73</v>
      </c>
      <c r="F59" s="312" t="s">
        <v>536</v>
      </c>
      <c r="G59" s="313">
        <v>37900</v>
      </c>
      <c r="H59" s="312"/>
      <c r="I59" s="312"/>
      <c r="J59" s="312"/>
      <c r="K59" s="312" t="s">
        <v>537</v>
      </c>
      <c r="L59" s="312" t="s">
        <v>538</v>
      </c>
      <c r="M59" s="327" t="s">
        <v>539</v>
      </c>
      <c r="N59" s="328" t="s">
        <v>540</v>
      </c>
      <c r="O59" s="315">
        <v>130740.9</v>
      </c>
      <c r="P59" s="316">
        <v>113013.6</v>
      </c>
      <c r="Q59" s="316">
        <v>140297.5</v>
      </c>
      <c r="R59" s="316">
        <v>139148.8</v>
      </c>
      <c r="S59" s="316">
        <v>143485.2</v>
      </c>
      <c r="T59" s="316">
        <v>143485.2</v>
      </c>
      <c r="U59" s="315">
        <v>130740.9</v>
      </c>
      <c r="V59" s="316">
        <v>113013.6</v>
      </c>
      <c r="W59" s="316">
        <v>140297.5</v>
      </c>
      <c r="X59" s="316">
        <v>139148.8</v>
      </c>
      <c r="Y59" s="316">
        <v>143485.2</v>
      </c>
      <c r="Z59" s="316">
        <v>143485.2</v>
      </c>
      <c r="AA59" s="315">
        <f>Q59</f>
        <v>140297.5</v>
      </c>
      <c r="AB59" s="316">
        <f>R59</f>
        <v>139148.8</v>
      </c>
      <c r="AC59" s="316">
        <f>S59</f>
        <v>143485.2</v>
      </c>
      <c r="AD59" s="316">
        <f>W59</f>
        <v>140297.5</v>
      </c>
      <c r="AE59" s="316">
        <f>X59</f>
        <v>139148.8</v>
      </c>
      <c r="AF59" s="317">
        <f>Y59</f>
        <v>143485.2</v>
      </c>
      <c r="AG59" s="316" t="s">
        <v>80</v>
      </c>
      <c r="AH59" s="9"/>
      <c r="AI59" s="9"/>
      <c r="AJ59" s="9" t="s">
        <v>541</v>
      </c>
      <c r="AK59" s="9" t="s">
        <v>542</v>
      </c>
      <c r="AL59" s="9" t="s">
        <v>543</v>
      </c>
      <c r="AM59" s="9" t="s">
        <v>544</v>
      </c>
      <c r="AN59" s="9" t="s">
        <v>545</v>
      </c>
      <c r="AO59" s="9" t="s">
        <v>546</v>
      </c>
      <c r="AP59" s="9" t="s">
        <v>547</v>
      </c>
      <c r="AQ59" s="9" t="s">
        <v>548</v>
      </c>
      <c r="AR59" s="9" t="s">
        <v>549</v>
      </c>
      <c r="AS59" s="9" t="s">
        <v>550</v>
      </c>
      <c r="AT59" s="9" t="s">
        <v>551</v>
      </c>
      <c r="AU59" s="9" t="s">
        <v>552</v>
      </c>
      <c r="AV59" s="9" t="s">
        <v>553</v>
      </c>
      <c r="AW59" s="9" t="s">
        <v>554</v>
      </c>
      <c r="AX59" s="9" t="s">
        <v>555</v>
      </c>
      <c r="AY59" s="9" t="s">
        <v>556</v>
      </c>
      <c r="AZ59" s="9" t="s">
        <v>557</v>
      </c>
      <c r="BA59" s="9"/>
      <c r="BB59" s="9"/>
      <c r="BC59" s="9"/>
      <c r="BD59" s="9"/>
    </row>
    <row r="60" spans="1:56" ht="40.5" customHeight="1">
      <c r="A60" s="8"/>
      <c r="B60" s="308"/>
      <c r="C60" s="326"/>
      <c r="D60" s="308"/>
      <c r="E60" s="311"/>
      <c r="F60" s="312"/>
      <c r="G60" s="313"/>
      <c r="H60" s="312"/>
      <c r="I60" s="312"/>
      <c r="J60" s="312"/>
      <c r="K60" s="312"/>
      <c r="L60" s="312"/>
      <c r="M60" s="312"/>
      <c r="N60" s="328"/>
      <c r="O60" s="315"/>
      <c r="P60" s="316"/>
      <c r="Q60" s="316"/>
      <c r="R60" s="316"/>
      <c r="S60" s="316"/>
      <c r="T60" s="316"/>
      <c r="U60" s="315"/>
      <c r="V60" s="315"/>
      <c r="W60" s="316"/>
      <c r="X60" s="316"/>
      <c r="Y60" s="316"/>
      <c r="Z60" s="316"/>
      <c r="AA60" s="315"/>
      <c r="AB60" s="316"/>
      <c r="AC60" s="316"/>
      <c r="AD60" s="316"/>
      <c r="AE60" s="316"/>
      <c r="AF60" s="317"/>
      <c r="AG60" s="316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1:56" ht="65.25" customHeight="1">
      <c r="A61" s="8"/>
      <c r="B61" s="308"/>
      <c r="C61" s="326"/>
      <c r="D61" s="308"/>
      <c r="E61" s="311" t="s">
        <v>558</v>
      </c>
      <c r="F61" s="312" t="s">
        <v>559</v>
      </c>
      <c r="G61" s="313">
        <v>40817</v>
      </c>
      <c r="H61" s="312"/>
      <c r="I61" s="312"/>
      <c r="J61" s="312"/>
      <c r="K61" s="312" t="s">
        <v>560</v>
      </c>
      <c r="L61" s="312"/>
      <c r="M61" s="313"/>
      <c r="N61" s="328"/>
      <c r="O61" s="315"/>
      <c r="P61" s="316"/>
      <c r="Q61" s="316"/>
      <c r="R61" s="316"/>
      <c r="S61" s="316"/>
      <c r="T61" s="316"/>
      <c r="U61" s="315"/>
      <c r="V61" s="315"/>
      <c r="W61" s="316"/>
      <c r="X61" s="316"/>
      <c r="Y61" s="316"/>
      <c r="Z61" s="316"/>
      <c r="AA61" s="315"/>
      <c r="AB61" s="316"/>
      <c r="AC61" s="316"/>
      <c r="AD61" s="316"/>
      <c r="AE61" s="316"/>
      <c r="AF61" s="317"/>
      <c r="AG61" s="316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1:56" ht="78" customHeight="1">
      <c r="A62" s="8"/>
      <c r="B62" s="308"/>
      <c r="C62" s="326"/>
      <c r="D62" s="308"/>
      <c r="E62" s="311"/>
      <c r="F62" s="312"/>
      <c r="G62" s="313"/>
      <c r="H62" s="312"/>
      <c r="I62" s="312"/>
      <c r="J62" s="312"/>
      <c r="K62" s="312"/>
      <c r="L62" s="312"/>
      <c r="M62" s="313"/>
      <c r="N62" s="328"/>
      <c r="O62" s="315"/>
      <c r="P62" s="316"/>
      <c r="Q62" s="316"/>
      <c r="R62" s="316"/>
      <c r="S62" s="316"/>
      <c r="T62" s="316"/>
      <c r="U62" s="315"/>
      <c r="V62" s="315"/>
      <c r="W62" s="316"/>
      <c r="X62" s="316"/>
      <c r="Y62" s="316"/>
      <c r="Z62" s="316"/>
      <c r="AA62" s="315"/>
      <c r="AB62" s="316"/>
      <c r="AC62" s="316"/>
      <c r="AD62" s="316"/>
      <c r="AE62" s="316"/>
      <c r="AF62" s="317"/>
      <c r="AG62" s="316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1:56" ht="147.75" customHeight="1">
      <c r="A63" s="8"/>
      <c r="B63" s="308" t="s">
        <v>561</v>
      </c>
      <c r="C63" s="326" t="s">
        <v>562</v>
      </c>
      <c r="D63" s="308">
        <v>2602</v>
      </c>
      <c r="E63" s="44" t="s">
        <v>73</v>
      </c>
      <c r="F63" s="52" t="s">
        <v>536</v>
      </c>
      <c r="G63" s="58">
        <v>37900</v>
      </c>
      <c r="H63" s="312"/>
      <c r="I63" s="312"/>
      <c r="J63" s="312"/>
      <c r="K63" s="52" t="s">
        <v>563</v>
      </c>
      <c r="L63" s="52" t="s">
        <v>564</v>
      </c>
      <c r="M63" s="53" t="s">
        <v>565</v>
      </c>
      <c r="N63" s="328" t="s">
        <v>566</v>
      </c>
      <c r="O63" s="315">
        <f>250558.1-2590.4</f>
        <v>247967.7</v>
      </c>
      <c r="P63" s="316">
        <f>244134.4-2590.4</f>
        <v>241544</v>
      </c>
      <c r="Q63" s="316">
        <f>274181-2580</f>
        <v>271601</v>
      </c>
      <c r="R63" s="316">
        <f>282776.4-2697.2</f>
        <v>280079.2</v>
      </c>
      <c r="S63" s="316">
        <f>293815.4-2805.1</f>
        <v>291010.30000000005</v>
      </c>
      <c r="T63" s="316">
        <f>293815.4-2805.1</f>
        <v>291010.30000000005</v>
      </c>
      <c r="U63" s="315">
        <f>250558.1-2590.4</f>
        <v>247967.7</v>
      </c>
      <c r="V63" s="316">
        <f>244134.4-2590.4</f>
        <v>241544</v>
      </c>
      <c r="W63" s="316">
        <f>274181-2580</f>
        <v>271601</v>
      </c>
      <c r="X63" s="316">
        <f>282776.4-2697.2</f>
        <v>280079.2</v>
      </c>
      <c r="Y63" s="316">
        <f>293815.4-2805.1</f>
        <v>291010.30000000005</v>
      </c>
      <c r="Z63" s="316">
        <f>293815.4-2805.1</f>
        <v>291010.30000000005</v>
      </c>
      <c r="AA63" s="315">
        <f>Q63</f>
        <v>271601</v>
      </c>
      <c r="AB63" s="316">
        <f>R63</f>
        <v>280079.2</v>
      </c>
      <c r="AC63" s="316">
        <f>S63</f>
        <v>291010.30000000005</v>
      </c>
      <c r="AD63" s="316">
        <f>W63</f>
        <v>271601</v>
      </c>
      <c r="AE63" s="316">
        <f>X63</f>
        <v>280079.2</v>
      </c>
      <c r="AF63" s="317">
        <f>Y63</f>
        <v>291010.30000000005</v>
      </c>
      <c r="AG63" s="316" t="s">
        <v>80</v>
      </c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1:56" ht="111.75" customHeight="1">
      <c r="A64" s="8"/>
      <c r="B64" s="308"/>
      <c r="C64" s="326"/>
      <c r="D64" s="308"/>
      <c r="E64" s="311" t="s">
        <v>558</v>
      </c>
      <c r="F64" s="312" t="s">
        <v>559</v>
      </c>
      <c r="G64" s="329">
        <v>40817</v>
      </c>
      <c r="H64" s="312"/>
      <c r="I64" s="312"/>
      <c r="J64" s="312"/>
      <c r="K64" s="52" t="s">
        <v>567</v>
      </c>
      <c r="L64" s="52" t="s">
        <v>568</v>
      </c>
      <c r="M64" s="76">
        <v>43459</v>
      </c>
      <c r="N64" s="328"/>
      <c r="O64" s="315"/>
      <c r="P64" s="316"/>
      <c r="Q64" s="316"/>
      <c r="R64" s="316"/>
      <c r="S64" s="316"/>
      <c r="T64" s="316"/>
      <c r="U64" s="315"/>
      <c r="V64" s="316"/>
      <c r="W64" s="316"/>
      <c r="X64" s="316"/>
      <c r="Y64" s="316"/>
      <c r="Z64" s="316"/>
      <c r="AA64" s="315"/>
      <c r="AB64" s="316"/>
      <c r="AC64" s="316"/>
      <c r="AD64" s="316"/>
      <c r="AE64" s="316"/>
      <c r="AF64" s="317"/>
      <c r="AG64" s="316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  <row r="65" spans="1:56" ht="85.5" customHeight="1">
      <c r="A65" s="8"/>
      <c r="B65" s="308"/>
      <c r="C65" s="326"/>
      <c r="D65" s="308"/>
      <c r="E65" s="311"/>
      <c r="F65" s="312"/>
      <c r="G65" s="329"/>
      <c r="H65" s="312"/>
      <c r="I65" s="312"/>
      <c r="J65" s="312"/>
      <c r="K65" s="52" t="s">
        <v>537</v>
      </c>
      <c r="L65" s="52" t="s">
        <v>569</v>
      </c>
      <c r="M65" s="84" t="s">
        <v>539</v>
      </c>
      <c r="N65" s="328"/>
      <c r="O65" s="315"/>
      <c r="P65" s="316"/>
      <c r="Q65" s="316"/>
      <c r="R65" s="316"/>
      <c r="S65" s="316"/>
      <c r="T65" s="316"/>
      <c r="U65" s="315"/>
      <c r="V65" s="316"/>
      <c r="W65" s="316"/>
      <c r="X65" s="316"/>
      <c r="Y65" s="316"/>
      <c r="Z65" s="316"/>
      <c r="AA65" s="315"/>
      <c r="AB65" s="316"/>
      <c r="AC65" s="316"/>
      <c r="AD65" s="316"/>
      <c r="AE65" s="316"/>
      <c r="AF65" s="317"/>
      <c r="AG65" s="316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</row>
    <row r="66" spans="1:56" ht="78" customHeight="1">
      <c r="A66" s="8"/>
      <c r="B66" s="49" t="s">
        <v>570</v>
      </c>
      <c r="C66" s="75" t="s">
        <v>571</v>
      </c>
      <c r="D66" s="49">
        <v>2603</v>
      </c>
      <c r="E66" s="44" t="s">
        <v>73</v>
      </c>
      <c r="F66" s="52" t="s">
        <v>572</v>
      </c>
      <c r="G66" s="58">
        <v>37900</v>
      </c>
      <c r="H66" s="52"/>
      <c r="I66" s="52"/>
      <c r="J66" s="52"/>
      <c r="K66" s="120"/>
      <c r="L66" s="52"/>
      <c r="M66" s="76"/>
      <c r="N66" s="54" t="s">
        <v>573</v>
      </c>
      <c r="O66" s="55">
        <v>0</v>
      </c>
      <c r="P66" s="57">
        <v>0</v>
      </c>
      <c r="Q66" s="56"/>
      <c r="R66" s="56"/>
      <c r="S66" s="56"/>
      <c r="T66" s="56"/>
      <c r="U66" s="55">
        <v>0</v>
      </c>
      <c r="V66" s="57">
        <v>0</v>
      </c>
      <c r="W66" s="56"/>
      <c r="X66" s="56"/>
      <c r="Y66" s="56"/>
      <c r="Z66" s="56"/>
      <c r="AA66" s="55"/>
      <c r="AB66" s="56"/>
      <c r="AC66" s="56"/>
      <c r="AD66" s="56"/>
      <c r="AE66" s="56"/>
      <c r="AF66" s="57"/>
      <c r="AG66" s="56" t="s">
        <v>80</v>
      </c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</row>
    <row r="67" spans="1:56" ht="85.5" customHeight="1">
      <c r="A67" s="8"/>
      <c r="B67" s="308" t="s">
        <v>574</v>
      </c>
      <c r="C67" s="326" t="s">
        <v>575</v>
      </c>
      <c r="D67" s="308">
        <v>2604</v>
      </c>
      <c r="E67" s="311" t="s">
        <v>73</v>
      </c>
      <c r="F67" s="312" t="s">
        <v>572</v>
      </c>
      <c r="G67" s="313">
        <v>37900</v>
      </c>
      <c r="H67" s="312"/>
      <c r="I67" s="312"/>
      <c r="J67" s="312"/>
      <c r="K67" s="52" t="s">
        <v>576</v>
      </c>
      <c r="L67" s="52" t="s">
        <v>127</v>
      </c>
      <c r="M67" s="53" t="s">
        <v>577</v>
      </c>
      <c r="N67" s="314" t="s">
        <v>573</v>
      </c>
      <c r="O67" s="330">
        <v>282</v>
      </c>
      <c r="P67" s="317">
        <v>281.2</v>
      </c>
      <c r="Q67" s="316">
        <v>263</v>
      </c>
      <c r="R67" s="316">
        <v>219</v>
      </c>
      <c r="S67" s="316">
        <v>156</v>
      </c>
      <c r="T67" s="316">
        <v>156</v>
      </c>
      <c r="U67" s="330">
        <v>282</v>
      </c>
      <c r="V67" s="317">
        <v>281.2</v>
      </c>
      <c r="W67" s="316">
        <v>263</v>
      </c>
      <c r="X67" s="316">
        <v>219</v>
      </c>
      <c r="Y67" s="316">
        <v>156</v>
      </c>
      <c r="Z67" s="316">
        <v>156</v>
      </c>
      <c r="AA67" s="315">
        <f>Q67</f>
        <v>263</v>
      </c>
      <c r="AB67" s="316">
        <f>R67</f>
        <v>219</v>
      </c>
      <c r="AC67" s="316">
        <f>S67</f>
        <v>156</v>
      </c>
      <c r="AD67" s="316">
        <f>W67</f>
        <v>263</v>
      </c>
      <c r="AE67" s="316">
        <f>X67</f>
        <v>219</v>
      </c>
      <c r="AF67" s="317">
        <f>Y67</f>
        <v>156</v>
      </c>
      <c r="AG67" s="316" t="s">
        <v>80</v>
      </c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</row>
    <row r="68" spans="1:56" ht="83.25" customHeight="1">
      <c r="A68" s="8"/>
      <c r="B68" s="308"/>
      <c r="C68" s="326"/>
      <c r="D68" s="308"/>
      <c r="E68" s="311"/>
      <c r="F68" s="312"/>
      <c r="G68" s="313"/>
      <c r="H68" s="312"/>
      <c r="I68" s="312"/>
      <c r="J68" s="312"/>
      <c r="K68" s="52" t="s">
        <v>578</v>
      </c>
      <c r="L68" s="52" t="s">
        <v>127</v>
      </c>
      <c r="M68" s="53" t="s">
        <v>579</v>
      </c>
      <c r="N68" s="314"/>
      <c r="O68" s="330"/>
      <c r="P68" s="317"/>
      <c r="Q68" s="316"/>
      <c r="R68" s="316"/>
      <c r="S68" s="316"/>
      <c r="T68" s="316"/>
      <c r="U68" s="330"/>
      <c r="V68" s="317"/>
      <c r="W68" s="316"/>
      <c r="X68" s="316"/>
      <c r="Y68" s="316"/>
      <c r="Z68" s="316"/>
      <c r="AA68" s="315"/>
      <c r="AB68" s="316"/>
      <c r="AC68" s="316"/>
      <c r="AD68" s="316"/>
      <c r="AE68" s="316"/>
      <c r="AF68" s="317"/>
      <c r="AG68" s="316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</row>
    <row r="69" spans="1:56" ht="140.25">
      <c r="A69" s="8"/>
      <c r="B69" s="51" t="s">
        <v>580</v>
      </c>
      <c r="C69" s="50" t="s">
        <v>581</v>
      </c>
      <c r="D69" s="51">
        <v>2613</v>
      </c>
      <c r="E69" s="44" t="s">
        <v>73</v>
      </c>
      <c r="F69" s="52" t="s">
        <v>582</v>
      </c>
      <c r="G69" s="58">
        <v>37900</v>
      </c>
      <c r="H69" s="52"/>
      <c r="I69" s="52"/>
      <c r="J69" s="52"/>
      <c r="K69" s="52" t="s">
        <v>583</v>
      </c>
      <c r="L69" s="52" t="s">
        <v>584</v>
      </c>
      <c r="M69" s="84" t="s">
        <v>539</v>
      </c>
      <c r="N69" s="54" t="s">
        <v>585</v>
      </c>
      <c r="O69" s="55">
        <v>0</v>
      </c>
      <c r="P69" s="56">
        <v>0</v>
      </c>
      <c r="Q69" s="56"/>
      <c r="R69" s="56"/>
      <c r="S69" s="56"/>
      <c r="T69" s="56"/>
      <c r="U69" s="55">
        <v>0</v>
      </c>
      <c r="V69" s="56">
        <v>0</v>
      </c>
      <c r="W69" s="56"/>
      <c r="X69" s="56"/>
      <c r="Y69" s="56"/>
      <c r="Z69" s="56"/>
      <c r="AA69" s="55"/>
      <c r="AB69" s="56"/>
      <c r="AC69" s="56"/>
      <c r="AD69" s="56"/>
      <c r="AE69" s="56"/>
      <c r="AF69" s="57"/>
      <c r="AG69" s="56" t="s">
        <v>80</v>
      </c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</row>
    <row r="70" spans="1:56" ht="87.75" customHeight="1">
      <c r="A70" s="8"/>
      <c r="B70" s="308" t="s">
        <v>586</v>
      </c>
      <c r="C70" s="309" t="s">
        <v>587</v>
      </c>
      <c r="D70" s="310">
        <v>2615</v>
      </c>
      <c r="E70" s="44" t="s">
        <v>73</v>
      </c>
      <c r="F70" s="52" t="s">
        <v>588</v>
      </c>
      <c r="G70" s="58">
        <v>37900</v>
      </c>
      <c r="H70" s="312"/>
      <c r="I70" s="312"/>
      <c r="J70" s="312"/>
      <c r="K70" s="312" t="s">
        <v>477</v>
      </c>
      <c r="L70" s="312" t="s">
        <v>77</v>
      </c>
      <c r="M70" s="331" t="s">
        <v>589</v>
      </c>
      <c r="N70" s="314" t="s">
        <v>478</v>
      </c>
      <c r="O70" s="315">
        <v>5000</v>
      </c>
      <c r="P70" s="316">
        <v>5000</v>
      </c>
      <c r="Q70" s="316"/>
      <c r="R70" s="316"/>
      <c r="S70" s="316"/>
      <c r="T70" s="316"/>
      <c r="U70" s="315">
        <v>5000</v>
      </c>
      <c r="V70" s="316">
        <v>5000</v>
      </c>
      <c r="W70" s="316"/>
      <c r="X70" s="316"/>
      <c r="Y70" s="316"/>
      <c r="Z70" s="316"/>
      <c r="AA70" s="315"/>
      <c r="AB70" s="316"/>
      <c r="AC70" s="316"/>
      <c r="AD70" s="316"/>
      <c r="AE70" s="316"/>
      <c r="AF70" s="317"/>
      <c r="AG70" s="316" t="s">
        <v>80</v>
      </c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</row>
    <row r="71" spans="1:56" ht="87.75" customHeight="1">
      <c r="A71" s="8"/>
      <c r="B71" s="308"/>
      <c r="C71" s="309"/>
      <c r="D71" s="310"/>
      <c r="E71" s="44" t="s">
        <v>590</v>
      </c>
      <c r="F71" s="52" t="s">
        <v>591</v>
      </c>
      <c r="G71" s="58">
        <v>41831</v>
      </c>
      <c r="H71" s="312"/>
      <c r="I71" s="312"/>
      <c r="J71" s="312"/>
      <c r="K71" s="312"/>
      <c r="L71" s="312"/>
      <c r="M71" s="331"/>
      <c r="N71" s="314"/>
      <c r="O71" s="315"/>
      <c r="P71" s="316"/>
      <c r="Q71" s="316"/>
      <c r="R71" s="316"/>
      <c r="S71" s="316"/>
      <c r="T71" s="316"/>
      <c r="U71" s="315"/>
      <c r="V71" s="316"/>
      <c r="W71" s="316"/>
      <c r="X71" s="316"/>
      <c r="Y71" s="316"/>
      <c r="Z71" s="316"/>
      <c r="AA71" s="315"/>
      <c r="AB71" s="316"/>
      <c r="AC71" s="316"/>
      <c r="AD71" s="316"/>
      <c r="AE71" s="316"/>
      <c r="AF71" s="317"/>
      <c r="AG71" s="316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</row>
    <row r="72" spans="1:56" ht="132" customHeight="1">
      <c r="A72" s="8"/>
      <c r="B72" s="49" t="s">
        <v>592</v>
      </c>
      <c r="C72" s="50" t="s">
        <v>593</v>
      </c>
      <c r="D72" s="51">
        <v>2617</v>
      </c>
      <c r="E72" s="44" t="s">
        <v>73</v>
      </c>
      <c r="F72" s="52" t="s">
        <v>594</v>
      </c>
      <c r="G72" s="58">
        <v>37900</v>
      </c>
      <c r="H72" s="52"/>
      <c r="I72" s="52"/>
      <c r="J72" s="52"/>
      <c r="K72" s="52" t="s">
        <v>583</v>
      </c>
      <c r="L72" s="52" t="s">
        <v>595</v>
      </c>
      <c r="M72" s="84" t="s">
        <v>539</v>
      </c>
      <c r="N72" s="54" t="s">
        <v>596</v>
      </c>
      <c r="O72" s="55">
        <v>3400</v>
      </c>
      <c r="P72" s="56">
        <v>2550</v>
      </c>
      <c r="Q72" s="56">
        <v>3600</v>
      </c>
      <c r="R72" s="56">
        <v>3600</v>
      </c>
      <c r="S72" s="56">
        <v>3600</v>
      </c>
      <c r="T72" s="56">
        <v>3600</v>
      </c>
      <c r="U72" s="55">
        <v>3400</v>
      </c>
      <c r="V72" s="56">
        <v>2550</v>
      </c>
      <c r="W72" s="56">
        <v>3600</v>
      </c>
      <c r="X72" s="56">
        <v>3600</v>
      </c>
      <c r="Y72" s="56">
        <v>3600</v>
      </c>
      <c r="Z72" s="56">
        <v>3600</v>
      </c>
      <c r="AA72" s="55">
        <f>Q72</f>
        <v>3600</v>
      </c>
      <c r="AB72" s="56">
        <f>R72</f>
        <v>3600</v>
      </c>
      <c r="AC72" s="56">
        <f>S72</f>
        <v>3600</v>
      </c>
      <c r="AD72" s="56">
        <f>W72</f>
        <v>3600</v>
      </c>
      <c r="AE72" s="56">
        <f>X72</f>
        <v>3600</v>
      </c>
      <c r="AF72" s="57">
        <f>Y72</f>
        <v>3600</v>
      </c>
      <c r="AG72" s="56" t="s">
        <v>80</v>
      </c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</row>
    <row r="73" spans="1:56" ht="117.75" customHeight="1">
      <c r="A73" s="8"/>
      <c r="B73" s="49" t="s">
        <v>597</v>
      </c>
      <c r="C73" s="50" t="s">
        <v>598</v>
      </c>
      <c r="D73" s="51">
        <v>2619</v>
      </c>
      <c r="E73" s="44" t="s">
        <v>73</v>
      </c>
      <c r="F73" s="52" t="s">
        <v>599</v>
      </c>
      <c r="G73" s="58">
        <v>37900</v>
      </c>
      <c r="H73" s="52"/>
      <c r="I73" s="52"/>
      <c r="J73" s="52"/>
      <c r="K73" s="52" t="s">
        <v>583</v>
      </c>
      <c r="L73" s="52" t="s">
        <v>600</v>
      </c>
      <c r="M73" s="84" t="s">
        <v>539</v>
      </c>
      <c r="N73" s="54" t="s">
        <v>79</v>
      </c>
      <c r="O73" s="128">
        <v>1111.3</v>
      </c>
      <c r="P73" s="56">
        <v>705.2</v>
      </c>
      <c r="Q73" s="129">
        <v>700</v>
      </c>
      <c r="R73" s="129">
        <v>800</v>
      </c>
      <c r="S73" s="129">
        <v>850</v>
      </c>
      <c r="T73" s="129">
        <v>850</v>
      </c>
      <c r="U73" s="128">
        <v>1111.3</v>
      </c>
      <c r="V73" s="56">
        <v>705.2</v>
      </c>
      <c r="W73" s="129">
        <v>700</v>
      </c>
      <c r="X73" s="129">
        <v>800</v>
      </c>
      <c r="Y73" s="129">
        <v>850</v>
      </c>
      <c r="Z73" s="129">
        <v>850</v>
      </c>
      <c r="AA73" s="55">
        <f>Q73</f>
        <v>700</v>
      </c>
      <c r="AB73" s="56">
        <f>R73</f>
        <v>800</v>
      </c>
      <c r="AC73" s="56">
        <f>S73</f>
        <v>850</v>
      </c>
      <c r="AD73" s="56">
        <f>W73</f>
        <v>700</v>
      </c>
      <c r="AE73" s="56">
        <f>X73</f>
        <v>800</v>
      </c>
      <c r="AF73" s="57">
        <f>Y73</f>
        <v>850</v>
      </c>
      <c r="AG73" s="56" t="s">
        <v>80</v>
      </c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</row>
    <row r="74" spans="1:79" s="10" customFormat="1" ht="158.25" customHeight="1">
      <c r="A74" s="8"/>
      <c r="B74" s="49" t="s">
        <v>601</v>
      </c>
      <c r="C74" s="50" t="s">
        <v>602</v>
      </c>
      <c r="D74" s="51">
        <v>2620</v>
      </c>
      <c r="E74" s="44" t="s">
        <v>73</v>
      </c>
      <c r="F74" s="52" t="s">
        <v>603</v>
      </c>
      <c r="G74" s="58">
        <v>37900</v>
      </c>
      <c r="H74" s="52"/>
      <c r="I74" s="52"/>
      <c r="J74" s="52"/>
      <c r="K74" s="86" t="s">
        <v>604</v>
      </c>
      <c r="L74" s="52" t="s">
        <v>77</v>
      </c>
      <c r="M74" s="53" t="s">
        <v>232</v>
      </c>
      <c r="N74" s="54" t="s">
        <v>605</v>
      </c>
      <c r="O74" s="128">
        <v>2588.8</v>
      </c>
      <c r="P74" s="56">
        <v>2583.1</v>
      </c>
      <c r="Q74" s="129">
        <v>3025</v>
      </c>
      <c r="R74" s="129">
        <v>3005</v>
      </c>
      <c r="S74" s="129">
        <v>3005</v>
      </c>
      <c r="T74" s="129">
        <v>3005</v>
      </c>
      <c r="U74" s="128">
        <f>2588.8-1563.8</f>
        <v>1025.0000000000002</v>
      </c>
      <c r="V74" s="56">
        <f>2583.1-1563.8</f>
        <v>1019.3</v>
      </c>
      <c r="W74" s="129">
        <f>3025-2000</f>
        <v>1025</v>
      </c>
      <c r="X74" s="129">
        <f>3005-2000</f>
        <v>1005</v>
      </c>
      <c r="Y74" s="129">
        <f>3005-2000</f>
        <v>1005</v>
      </c>
      <c r="Z74" s="129">
        <f>3005-2000</f>
        <v>1005</v>
      </c>
      <c r="AA74" s="55">
        <f>Q74</f>
        <v>3025</v>
      </c>
      <c r="AB74" s="56">
        <f>R74</f>
        <v>3005</v>
      </c>
      <c r="AC74" s="56">
        <f>S74</f>
        <v>3005</v>
      </c>
      <c r="AD74" s="56">
        <f>W74</f>
        <v>1025</v>
      </c>
      <c r="AE74" s="56">
        <f>X74</f>
        <v>1005</v>
      </c>
      <c r="AF74" s="57">
        <f>Y74</f>
        <v>1005</v>
      </c>
      <c r="AG74" s="56" t="s">
        <v>80</v>
      </c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1:79" s="96" customFormat="1" ht="196.5" customHeight="1">
      <c r="A75" s="8"/>
      <c r="B75" s="49" t="s">
        <v>606</v>
      </c>
      <c r="C75" s="75" t="s">
        <v>607</v>
      </c>
      <c r="D75" s="49">
        <v>2623</v>
      </c>
      <c r="E75" s="44" t="s">
        <v>73</v>
      </c>
      <c r="F75" s="52" t="s">
        <v>608</v>
      </c>
      <c r="G75" s="58">
        <v>37900</v>
      </c>
      <c r="H75" s="86"/>
      <c r="I75" s="52"/>
      <c r="J75" s="52"/>
      <c r="K75" s="98" t="s">
        <v>609</v>
      </c>
      <c r="L75" s="44" t="s">
        <v>610</v>
      </c>
      <c r="M75" s="127">
        <v>40179</v>
      </c>
      <c r="N75" s="54" t="s">
        <v>611</v>
      </c>
      <c r="O75" s="128">
        <v>13687</v>
      </c>
      <c r="P75" s="129">
        <v>12935.5</v>
      </c>
      <c r="Q75" s="129">
        <v>14500</v>
      </c>
      <c r="R75" s="129">
        <v>14500</v>
      </c>
      <c r="S75" s="129">
        <v>14500</v>
      </c>
      <c r="T75" s="129">
        <v>14500</v>
      </c>
      <c r="U75" s="128">
        <v>13687</v>
      </c>
      <c r="V75" s="129">
        <v>12935.5</v>
      </c>
      <c r="W75" s="129">
        <v>14500</v>
      </c>
      <c r="X75" s="129">
        <v>14500</v>
      </c>
      <c r="Y75" s="129">
        <v>14500</v>
      </c>
      <c r="Z75" s="129">
        <v>14500</v>
      </c>
      <c r="AA75" s="55">
        <f>Q75</f>
        <v>14500</v>
      </c>
      <c r="AB75" s="56">
        <f>R75</f>
        <v>14500</v>
      </c>
      <c r="AC75" s="56">
        <f>S75</f>
        <v>14500</v>
      </c>
      <c r="AD75" s="56">
        <f>W75</f>
        <v>14500</v>
      </c>
      <c r="AE75" s="56">
        <f>X75</f>
        <v>14500</v>
      </c>
      <c r="AF75" s="57">
        <f>Y75</f>
        <v>14500</v>
      </c>
      <c r="AG75" s="56" t="s">
        <v>80</v>
      </c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1:79" s="96" customFormat="1" ht="116.25" customHeight="1">
      <c r="A76" s="8"/>
      <c r="B76" s="308" t="s">
        <v>612</v>
      </c>
      <c r="C76" s="326" t="s">
        <v>613</v>
      </c>
      <c r="D76" s="308">
        <v>2624</v>
      </c>
      <c r="E76" s="44" t="s">
        <v>73</v>
      </c>
      <c r="F76" s="52" t="s">
        <v>253</v>
      </c>
      <c r="G76" s="58">
        <v>37900</v>
      </c>
      <c r="H76" s="320"/>
      <c r="I76" s="312"/>
      <c r="J76" s="312"/>
      <c r="K76" s="52" t="s">
        <v>254</v>
      </c>
      <c r="L76" s="52" t="s">
        <v>77</v>
      </c>
      <c r="M76" s="84" t="s">
        <v>205</v>
      </c>
      <c r="N76" s="314" t="s">
        <v>279</v>
      </c>
      <c r="O76" s="315">
        <v>87690.5</v>
      </c>
      <c r="P76" s="316">
        <v>81011.6</v>
      </c>
      <c r="Q76" s="316">
        <v>102361.5</v>
      </c>
      <c r="R76" s="316">
        <v>107307.1</v>
      </c>
      <c r="S76" s="316">
        <v>106460.3</v>
      </c>
      <c r="T76" s="316">
        <v>106460.3</v>
      </c>
      <c r="U76" s="315">
        <v>87690.5</v>
      </c>
      <c r="V76" s="316">
        <v>81011.6</v>
      </c>
      <c r="W76" s="316">
        <v>102361.5</v>
      </c>
      <c r="X76" s="316">
        <v>107307.1</v>
      </c>
      <c r="Y76" s="316">
        <v>106460.3</v>
      </c>
      <c r="Z76" s="316">
        <v>106460.3</v>
      </c>
      <c r="AA76" s="315">
        <f>Q76</f>
        <v>102361.5</v>
      </c>
      <c r="AB76" s="316">
        <f>R76</f>
        <v>107307.1</v>
      </c>
      <c r="AC76" s="316">
        <f>S76</f>
        <v>106460.3</v>
      </c>
      <c r="AD76" s="316">
        <f>W76</f>
        <v>102361.5</v>
      </c>
      <c r="AE76" s="316">
        <f>X76</f>
        <v>107307.1</v>
      </c>
      <c r="AF76" s="317">
        <f>Y76</f>
        <v>106460.3</v>
      </c>
      <c r="AG76" s="316" t="s">
        <v>80</v>
      </c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1:79" s="96" customFormat="1" ht="193.5" customHeight="1">
      <c r="A77" s="8"/>
      <c r="B77" s="308"/>
      <c r="C77" s="326"/>
      <c r="D77" s="308"/>
      <c r="E77" s="44" t="s">
        <v>273</v>
      </c>
      <c r="F77" s="52" t="s">
        <v>614</v>
      </c>
      <c r="G77" s="88">
        <v>41275</v>
      </c>
      <c r="H77" s="320"/>
      <c r="I77" s="312"/>
      <c r="J77" s="312"/>
      <c r="K77" s="86" t="s">
        <v>615</v>
      </c>
      <c r="L77" s="52"/>
      <c r="M77" s="134" t="s">
        <v>616</v>
      </c>
      <c r="N77" s="314"/>
      <c r="O77" s="315"/>
      <c r="P77" s="316"/>
      <c r="Q77" s="316"/>
      <c r="R77" s="316"/>
      <c r="S77" s="316"/>
      <c r="T77" s="316"/>
      <c r="U77" s="315"/>
      <c r="V77" s="316"/>
      <c r="W77" s="316"/>
      <c r="X77" s="316"/>
      <c r="Y77" s="316"/>
      <c r="Z77" s="316"/>
      <c r="AA77" s="315"/>
      <c r="AB77" s="316"/>
      <c r="AC77" s="316"/>
      <c r="AD77" s="316"/>
      <c r="AE77" s="316"/>
      <c r="AF77" s="317"/>
      <c r="AG77" s="316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1:79" s="132" customFormat="1" ht="99" customHeight="1">
      <c r="A78" s="43"/>
      <c r="B78" s="135" t="s">
        <v>617</v>
      </c>
      <c r="C78" s="136" t="s">
        <v>618</v>
      </c>
      <c r="D78" s="135">
        <v>2700</v>
      </c>
      <c r="E78" s="130"/>
      <c r="F78" s="45"/>
      <c r="G78" s="131"/>
      <c r="H78" s="45"/>
      <c r="I78" s="45"/>
      <c r="J78" s="45"/>
      <c r="K78" s="45"/>
      <c r="L78" s="45"/>
      <c r="M78" s="46"/>
      <c r="N78" s="35"/>
      <c r="O78" s="36">
        <f aca="true" t="shared" si="27" ref="O78:AF78">SUM(O79,O85)</f>
        <v>112642.09999999999</v>
      </c>
      <c r="P78" s="37">
        <f t="shared" si="27"/>
        <v>110376.20000000001</v>
      </c>
      <c r="Q78" s="37">
        <f t="shared" si="27"/>
        <v>102141.8</v>
      </c>
      <c r="R78" s="37">
        <f t="shared" si="27"/>
        <v>99717.4</v>
      </c>
      <c r="S78" s="37">
        <f t="shared" si="27"/>
        <v>101519.19999999998</v>
      </c>
      <c r="T78" s="37">
        <f t="shared" si="27"/>
        <v>101519.19999999998</v>
      </c>
      <c r="U78" s="36">
        <f t="shared" si="27"/>
        <v>112642.09999999999</v>
      </c>
      <c r="V78" s="37">
        <f t="shared" si="27"/>
        <v>110376.20000000001</v>
      </c>
      <c r="W78" s="37">
        <f t="shared" si="27"/>
        <v>102141.8</v>
      </c>
      <c r="X78" s="37">
        <f t="shared" si="27"/>
        <v>99717.4</v>
      </c>
      <c r="Y78" s="37">
        <f t="shared" si="27"/>
        <v>101519.19999999998</v>
      </c>
      <c r="Z78" s="38">
        <f t="shared" si="27"/>
        <v>101519.19999999998</v>
      </c>
      <c r="AA78" s="137">
        <f t="shared" si="27"/>
        <v>102141.8</v>
      </c>
      <c r="AB78" s="39">
        <f t="shared" si="27"/>
        <v>99717.4</v>
      </c>
      <c r="AC78" s="39">
        <f t="shared" si="27"/>
        <v>101519.19999999998</v>
      </c>
      <c r="AD78" s="39">
        <f t="shared" si="27"/>
        <v>102141.8</v>
      </c>
      <c r="AE78" s="39">
        <f t="shared" si="27"/>
        <v>99717.4</v>
      </c>
      <c r="AF78" s="39">
        <f t="shared" si="27"/>
        <v>101519.19999999998</v>
      </c>
      <c r="AG78" s="56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</row>
    <row r="79" spans="1:79" s="151" customFormat="1" ht="81">
      <c r="A79" s="138"/>
      <c r="B79" s="139" t="s">
        <v>619</v>
      </c>
      <c r="C79" s="140" t="s">
        <v>620</v>
      </c>
      <c r="D79" s="139">
        <v>2701</v>
      </c>
      <c r="E79" s="141"/>
      <c r="F79" s="142"/>
      <c r="G79" s="143"/>
      <c r="H79" s="45"/>
      <c r="I79" s="45"/>
      <c r="J79" s="45"/>
      <c r="K79" s="45"/>
      <c r="L79" s="45"/>
      <c r="M79" s="46"/>
      <c r="N79" s="35"/>
      <c r="O79" s="144">
        <f aca="true" t="shared" si="28" ref="O79:AF79">SUM(O80,O83)</f>
        <v>58056</v>
      </c>
      <c r="P79" s="145">
        <f t="shared" si="28"/>
        <v>58056</v>
      </c>
      <c r="Q79" s="145">
        <f t="shared" si="28"/>
        <v>43635.3</v>
      </c>
      <c r="R79" s="145">
        <f t="shared" si="28"/>
        <v>41210.8</v>
      </c>
      <c r="S79" s="145">
        <f t="shared" si="28"/>
        <v>43012.6</v>
      </c>
      <c r="T79" s="145">
        <f t="shared" si="28"/>
        <v>43012.6</v>
      </c>
      <c r="U79" s="144">
        <f t="shared" si="28"/>
        <v>58056</v>
      </c>
      <c r="V79" s="145">
        <f t="shared" si="28"/>
        <v>58056</v>
      </c>
      <c r="W79" s="145">
        <f t="shared" si="28"/>
        <v>43635.3</v>
      </c>
      <c r="X79" s="145">
        <f t="shared" si="28"/>
        <v>41210.8</v>
      </c>
      <c r="Y79" s="145">
        <f t="shared" si="28"/>
        <v>43012.6</v>
      </c>
      <c r="Z79" s="146">
        <f t="shared" si="28"/>
        <v>43012.6</v>
      </c>
      <c r="AA79" s="147">
        <f t="shared" si="28"/>
        <v>43635.3</v>
      </c>
      <c r="AB79" s="148">
        <f t="shared" si="28"/>
        <v>41210.8</v>
      </c>
      <c r="AC79" s="148">
        <f t="shared" si="28"/>
        <v>43012.6</v>
      </c>
      <c r="AD79" s="148">
        <f t="shared" si="28"/>
        <v>43635.3</v>
      </c>
      <c r="AE79" s="148">
        <f t="shared" si="28"/>
        <v>41210.8</v>
      </c>
      <c r="AF79" s="148">
        <f t="shared" si="28"/>
        <v>43012.6</v>
      </c>
      <c r="AG79" s="56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</row>
    <row r="80" spans="1:56" s="155" customFormat="1" ht="70.5" customHeight="1">
      <c r="A80" s="152"/>
      <c r="B80" s="308" t="s">
        <v>621</v>
      </c>
      <c r="C80" s="309" t="s">
        <v>622</v>
      </c>
      <c r="D80" s="310">
        <v>2702</v>
      </c>
      <c r="E80" s="98" t="s">
        <v>73</v>
      </c>
      <c r="F80" s="153" t="s">
        <v>623</v>
      </c>
      <c r="G80" s="154">
        <v>37900</v>
      </c>
      <c r="H80" s="332"/>
      <c r="I80" s="332"/>
      <c r="J80" s="332"/>
      <c r="K80" s="333" t="s">
        <v>282</v>
      </c>
      <c r="L80" s="324" t="s">
        <v>624</v>
      </c>
      <c r="M80" s="334" t="s">
        <v>172</v>
      </c>
      <c r="N80" s="314" t="s">
        <v>300</v>
      </c>
      <c r="O80" s="315">
        <v>53756</v>
      </c>
      <c r="P80" s="316">
        <v>53756</v>
      </c>
      <c r="Q80" s="316">
        <v>41735.3</v>
      </c>
      <c r="R80" s="316">
        <v>38510.8</v>
      </c>
      <c r="S80" s="316">
        <v>40312.6</v>
      </c>
      <c r="T80" s="316">
        <v>40312.6</v>
      </c>
      <c r="U80" s="315">
        <v>53756</v>
      </c>
      <c r="V80" s="316">
        <v>53756</v>
      </c>
      <c r="W80" s="316">
        <v>41735.3</v>
      </c>
      <c r="X80" s="316">
        <v>38510.8</v>
      </c>
      <c r="Y80" s="316">
        <v>40312.6</v>
      </c>
      <c r="Z80" s="316">
        <v>40312.6</v>
      </c>
      <c r="AA80" s="315">
        <f>Q80</f>
        <v>41735.3</v>
      </c>
      <c r="AB80" s="316">
        <f>R80</f>
        <v>38510.8</v>
      </c>
      <c r="AC80" s="316">
        <f>S80</f>
        <v>40312.6</v>
      </c>
      <c r="AD80" s="316">
        <f>W80</f>
        <v>41735.3</v>
      </c>
      <c r="AE80" s="316">
        <f>X80</f>
        <v>38510.8</v>
      </c>
      <c r="AF80" s="317">
        <f>Y80</f>
        <v>40312.6</v>
      </c>
      <c r="AG80" s="316" t="s">
        <v>80</v>
      </c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</row>
    <row r="81" spans="1:56" s="158" customFormat="1" ht="62.25" customHeight="1">
      <c r="A81" s="152"/>
      <c r="B81" s="308"/>
      <c r="C81" s="309"/>
      <c r="D81" s="310"/>
      <c r="E81" s="156" t="s">
        <v>625</v>
      </c>
      <c r="F81" s="157" t="s">
        <v>626</v>
      </c>
      <c r="G81" s="92" t="s">
        <v>627</v>
      </c>
      <c r="H81" s="332"/>
      <c r="I81" s="332"/>
      <c r="J81" s="332"/>
      <c r="K81" s="333"/>
      <c r="L81" s="333"/>
      <c r="M81" s="334"/>
      <c r="N81" s="314"/>
      <c r="O81" s="315"/>
      <c r="P81" s="316"/>
      <c r="Q81" s="316"/>
      <c r="R81" s="316"/>
      <c r="S81" s="316"/>
      <c r="T81" s="316"/>
      <c r="U81" s="315"/>
      <c r="V81" s="316"/>
      <c r="W81" s="316"/>
      <c r="X81" s="316"/>
      <c r="Y81" s="316"/>
      <c r="Z81" s="316"/>
      <c r="AA81" s="315"/>
      <c r="AB81" s="316"/>
      <c r="AC81" s="316"/>
      <c r="AD81" s="316"/>
      <c r="AE81" s="316"/>
      <c r="AF81" s="317"/>
      <c r="AG81" s="316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</row>
    <row r="82" spans="1:79" s="74" customFormat="1" ht="84" customHeight="1">
      <c r="A82" s="59"/>
      <c r="B82" s="60"/>
      <c r="C82" s="61"/>
      <c r="D82" s="60"/>
      <c r="E82" s="62" t="s">
        <v>318</v>
      </c>
      <c r="F82" s="63" t="s">
        <v>319</v>
      </c>
      <c r="G82" s="64"/>
      <c r="H82" s="63"/>
      <c r="I82" s="63"/>
      <c r="J82" s="64"/>
      <c r="K82" s="64"/>
      <c r="L82" s="64"/>
      <c r="M82" s="102"/>
      <c r="N82" s="81" t="s">
        <v>300</v>
      </c>
      <c r="O82" s="159">
        <v>24722.7</v>
      </c>
      <c r="P82" s="160">
        <v>24722.7</v>
      </c>
      <c r="Q82" s="160">
        <v>25320.7</v>
      </c>
      <c r="R82" s="160">
        <v>26185.5</v>
      </c>
      <c r="S82" s="160">
        <v>26867.7</v>
      </c>
      <c r="T82" s="160">
        <v>26867.6</v>
      </c>
      <c r="U82" s="159">
        <v>24722.7</v>
      </c>
      <c r="V82" s="160">
        <v>24722.7</v>
      </c>
      <c r="W82" s="160">
        <v>25320.7</v>
      </c>
      <c r="X82" s="160">
        <v>26185.5</v>
      </c>
      <c r="Y82" s="160">
        <v>26867.7</v>
      </c>
      <c r="Z82" s="160">
        <v>26867.6</v>
      </c>
      <c r="AA82" s="69">
        <f>Q82</f>
        <v>25320.7</v>
      </c>
      <c r="AB82" s="70">
        <f>R82</f>
        <v>26185.5</v>
      </c>
      <c r="AC82" s="70">
        <f>S82</f>
        <v>26867.7</v>
      </c>
      <c r="AD82" s="70">
        <f>W82</f>
        <v>25320.7</v>
      </c>
      <c r="AE82" s="70">
        <f>X82</f>
        <v>26185.5</v>
      </c>
      <c r="AF82" s="71">
        <f>Y82</f>
        <v>26867.7</v>
      </c>
      <c r="AG82" s="68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</row>
    <row r="83" spans="1:79" s="165" customFormat="1" ht="83.25" customHeight="1">
      <c r="A83" s="161"/>
      <c r="B83" s="308" t="s">
        <v>628</v>
      </c>
      <c r="C83" s="335" t="s">
        <v>629</v>
      </c>
      <c r="D83" s="336">
        <v>2708</v>
      </c>
      <c r="E83" s="333" t="s">
        <v>73</v>
      </c>
      <c r="F83" s="337" t="s">
        <v>630</v>
      </c>
      <c r="G83" s="338">
        <v>37900</v>
      </c>
      <c r="H83" s="120"/>
      <c r="I83" s="120"/>
      <c r="J83" s="162"/>
      <c r="K83" s="52" t="s">
        <v>583</v>
      </c>
      <c r="L83" s="52" t="s">
        <v>631</v>
      </c>
      <c r="M83" s="84" t="s">
        <v>539</v>
      </c>
      <c r="N83" s="339" t="s">
        <v>478</v>
      </c>
      <c r="O83" s="122">
        <v>4300</v>
      </c>
      <c r="P83" s="87">
        <v>4300</v>
      </c>
      <c r="Q83" s="87">
        <v>1900</v>
      </c>
      <c r="R83" s="87">
        <v>2700</v>
      </c>
      <c r="S83" s="87">
        <v>2700</v>
      </c>
      <c r="T83" s="87">
        <v>2700</v>
      </c>
      <c r="U83" s="122">
        <v>4300</v>
      </c>
      <c r="V83" s="87">
        <v>4300</v>
      </c>
      <c r="W83" s="87">
        <v>1900</v>
      </c>
      <c r="X83" s="87">
        <v>2700</v>
      </c>
      <c r="Y83" s="87">
        <v>2700</v>
      </c>
      <c r="Z83" s="87">
        <v>2700</v>
      </c>
      <c r="AA83" s="55">
        <f>Q83</f>
        <v>1900</v>
      </c>
      <c r="AB83" s="56">
        <f>R83</f>
        <v>2700</v>
      </c>
      <c r="AC83" s="56">
        <f>S83</f>
        <v>2700</v>
      </c>
      <c r="AD83" s="56">
        <f>W83</f>
        <v>1900</v>
      </c>
      <c r="AE83" s="56">
        <f>X83</f>
        <v>2700</v>
      </c>
      <c r="AF83" s="57">
        <f>Y83</f>
        <v>2700</v>
      </c>
      <c r="AG83" s="316" t="s">
        <v>80</v>
      </c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</row>
    <row r="84" spans="1:79" s="165" customFormat="1" ht="65.25" customHeight="1">
      <c r="A84" s="161"/>
      <c r="B84" s="308"/>
      <c r="C84" s="335"/>
      <c r="D84" s="336"/>
      <c r="E84" s="333"/>
      <c r="F84" s="337"/>
      <c r="G84" s="338"/>
      <c r="H84" s="120"/>
      <c r="I84" s="120"/>
      <c r="J84" s="162"/>
      <c r="K84" s="52" t="s">
        <v>632</v>
      </c>
      <c r="L84" s="52" t="s">
        <v>564</v>
      </c>
      <c r="M84" s="84">
        <v>41905</v>
      </c>
      <c r="N84" s="339"/>
      <c r="O84" s="55">
        <v>53756</v>
      </c>
      <c r="P84" s="56">
        <v>53756</v>
      </c>
      <c r="Q84" s="56">
        <v>41735.3</v>
      </c>
      <c r="R84" s="56">
        <v>38510.8</v>
      </c>
      <c r="S84" s="56">
        <v>40312.6</v>
      </c>
      <c r="T84" s="56">
        <v>40312.6</v>
      </c>
      <c r="U84" s="55">
        <v>53756</v>
      </c>
      <c r="V84" s="56">
        <v>53756</v>
      </c>
      <c r="W84" s="56">
        <v>41735.3</v>
      </c>
      <c r="X84" s="56">
        <v>38510.8</v>
      </c>
      <c r="Y84" s="56">
        <v>40312.6</v>
      </c>
      <c r="Z84" s="56">
        <v>40312.6</v>
      </c>
      <c r="AA84" s="55">
        <f>Q84</f>
        <v>41735.3</v>
      </c>
      <c r="AB84" s="56">
        <f>R84</f>
        <v>38510.8</v>
      </c>
      <c r="AC84" s="56">
        <f>S84</f>
        <v>40312.6</v>
      </c>
      <c r="AD84" s="56">
        <f>W84</f>
        <v>41735.3</v>
      </c>
      <c r="AE84" s="56">
        <f>X84</f>
        <v>38510.8</v>
      </c>
      <c r="AF84" s="57">
        <f>Y84</f>
        <v>40312.6</v>
      </c>
      <c r="AG84" s="316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</row>
    <row r="85" spans="1:79" s="151" customFormat="1" ht="94.5">
      <c r="A85" s="138"/>
      <c r="B85" s="139" t="s">
        <v>633</v>
      </c>
      <c r="C85" s="140" t="s">
        <v>634</v>
      </c>
      <c r="D85" s="139">
        <v>2900</v>
      </c>
      <c r="E85" s="141"/>
      <c r="F85" s="142"/>
      <c r="G85" s="143"/>
      <c r="H85" s="166"/>
      <c r="I85" s="142"/>
      <c r="J85" s="142"/>
      <c r="K85" s="167"/>
      <c r="L85" s="142"/>
      <c r="M85" s="168"/>
      <c r="N85" s="169"/>
      <c r="O85" s="170">
        <f aca="true" t="shared" si="29" ref="O85:AF85">SUM(O86:O86)</f>
        <v>54586.09999999999</v>
      </c>
      <c r="P85" s="171">
        <f t="shared" si="29"/>
        <v>52320.200000000004</v>
      </c>
      <c r="Q85" s="171">
        <f t="shared" si="29"/>
        <v>58506.5</v>
      </c>
      <c r="R85" s="171">
        <f t="shared" si="29"/>
        <v>58506.59999999999</v>
      </c>
      <c r="S85" s="171">
        <f t="shared" si="29"/>
        <v>58506.59999999999</v>
      </c>
      <c r="T85" s="171">
        <f t="shared" si="29"/>
        <v>58506.59999999999</v>
      </c>
      <c r="U85" s="170">
        <f t="shared" si="29"/>
        <v>54586.09999999999</v>
      </c>
      <c r="V85" s="171">
        <f t="shared" si="29"/>
        <v>52320.200000000004</v>
      </c>
      <c r="W85" s="171">
        <f t="shared" si="29"/>
        <v>58506.5</v>
      </c>
      <c r="X85" s="171">
        <f t="shared" si="29"/>
        <v>58506.59999999999</v>
      </c>
      <c r="Y85" s="171">
        <f t="shared" si="29"/>
        <v>58506.59999999999</v>
      </c>
      <c r="Z85" s="171">
        <f t="shared" si="29"/>
        <v>58506.59999999999</v>
      </c>
      <c r="AA85" s="147">
        <f t="shared" si="29"/>
        <v>58506.5</v>
      </c>
      <c r="AB85" s="148">
        <f t="shared" si="29"/>
        <v>58506.59999999999</v>
      </c>
      <c r="AC85" s="148">
        <f t="shared" si="29"/>
        <v>58506.59999999999</v>
      </c>
      <c r="AD85" s="148">
        <f t="shared" si="29"/>
        <v>58506.5</v>
      </c>
      <c r="AE85" s="148">
        <f t="shared" si="29"/>
        <v>58506.59999999999</v>
      </c>
      <c r="AF85" s="148">
        <f t="shared" si="29"/>
        <v>58506.59999999999</v>
      </c>
      <c r="AG85" s="56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</row>
    <row r="86" spans="1:56" s="2" customFormat="1" ht="87" customHeight="1">
      <c r="A86" s="9"/>
      <c r="B86" s="18" t="s">
        <v>635</v>
      </c>
      <c r="C86" s="172" t="s">
        <v>636</v>
      </c>
      <c r="D86" s="52">
        <v>2902</v>
      </c>
      <c r="E86" s="44" t="s">
        <v>73</v>
      </c>
      <c r="F86" s="44" t="s">
        <v>608</v>
      </c>
      <c r="G86" s="58">
        <v>37900</v>
      </c>
      <c r="H86" s="52"/>
      <c r="I86" s="52"/>
      <c r="J86" s="52"/>
      <c r="K86" s="52" t="s">
        <v>583</v>
      </c>
      <c r="L86" s="52" t="s">
        <v>637</v>
      </c>
      <c r="M86" s="84" t="s">
        <v>539</v>
      </c>
      <c r="N86" s="54" t="s">
        <v>638</v>
      </c>
      <c r="O86" s="55">
        <f aca="true" t="shared" si="30" ref="O86:Z86">SUM(O87:O96)</f>
        <v>54586.09999999999</v>
      </c>
      <c r="P86" s="56">
        <f t="shared" si="30"/>
        <v>52320.200000000004</v>
      </c>
      <c r="Q86" s="56">
        <f t="shared" si="30"/>
        <v>58506.5</v>
      </c>
      <c r="R86" s="56">
        <f t="shared" si="30"/>
        <v>58506.59999999999</v>
      </c>
      <c r="S86" s="56">
        <f t="shared" si="30"/>
        <v>58506.59999999999</v>
      </c>
      <c r="T86" s="56">
        <f t="shared" si="30"/>
        <v>58506.59999999999</v>
      </c>
      <c r="U86" s="55">
        <f t="shared" si="30"/>
        <v>54586.09999999999</v>
      </c>
      <c r="V86" s="56">
        <f t="shared" si="30"/>
        <v>52320.200000000004</v>
      </c>
      <c r="W86" s="56">
        <f t="shared" si="30"/>
        <v>58506.5</v>
      </c>
      <c r="X86" s="56">
        <f t="shared" si="30"/>
        <v>58506.59999999999</v>
      </c>
      <c r="Y86" s="56">
        <f t="shared" si="30"/>
        <v>58506.59999999999</v>
      </c>
      <c r="Z86" s="173">
        <f t="shared" si="30"/>
        <v>58506.59999999999</v>
      </c>
      <c r="AA86" s="55">
        <f aca="true" t="shared" si="31" ref="AA86:AA93">Q86</f>
        <v>58506.5</v>
      </c>
      <c r="AB86" s="56">
        <f aca="true" t="shared" si="32" ref="AB86:AB93">R86</f>
        <v>58506.59999999999</v>
      </c>
      <c r="AC86" s="56">
        <f aca="true" t="shared" si="33" ref="AC86:AC93">S86</f>
        <v>58506.59999999999</v>
      </c>
      <c r="AD86" s="56">
        <f aca="true" t="shared" si="34" ref="AD86:AD93">W86</f>
        <v>58506.5</v>
      </c>
      <c r="AE86" s="56">
        <f aca="true" t="shared" si="35" ref="AE86:AE93">X86</f>
        <v>58506.59999999999</v>
      </c>
      <c r="AF86" s="57">
        <f aca="true" t="shared" si="36" ref="AF86:AF93">Y86</f>
        <v>58506.59999999999</v>
      </c>
      <c r="AG86" s="56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</row>
    <row r="87" spans="1:56" s="158" customFormat="1" ht="111.75" customHeight="1">
      <c r="A87" s="152"/>
      <c r="B87" s="174"/>
      <c r="C87" s="175" t="s">
        <v>639</v>
      </c>
      <c r="D87" s="153"/>
      <c r="E87" s="176"/>
      <c r="F87" s="153"/>
      <c r="G87" s="154"/>
      <c r="H87" s="153"/>
      <c r="I87" s="153"/>
      <c r="J87" s="153"/>
      <c r="K87" s="86" t="s">
        <v>171</v>
      </c>
      <c r="L87" s="177" t="s">
        <v>77</v>
      </c>
      <c r="M87" s="178" t="s">
        <v>172</v>
      </c>
      <c r="N87" s="179" t="s">
        <v>175</v>
      </c>
      <c r="O87" s="180">
        <v>13222.3</v>
      </c>
      <c r="P87" s="123">
        <v>12154.5</v>
      </c>
      <c r="Q87" s="123">
        <v>14280.1</v>
      </c>
      <c r="R87" s="123">
        <v>12502.6</v>
      </c>
      <c r="S87" s="123">
        <v>12502.6</v>
      </c>
      <c r="T87" s="123">
        <v>12502.6</v>
      </c>
      <c r="U87" s="180">
        <v>13222.3</v>
      </c>
      <c r="V87" s="123">
        <v>12154.5</v>
      </c>
      <c r="W87" s="123">
        <v>14280.1</v>
      </c>
      <c r="X87" s="123">
        <v>12502.6</v>
      </c>
      <c r="Y87" s="123">
        <v>12502.6</v>
      </c>
      <c r="Z87" s="123">
        <v>12502.6</v>
      </c>
      <c r="AA87" s="55">
        <f t="shared" si="31"/>
        <v>14280.1</v>
      </c>
      <c r="AB87" s="56">
        <f t="shared" si="32"/>
        <v>12502.6</v>
      </c>
      <c r="AC87" s="56">
        <f t="shared" si="33"/>
        <v>12502.6</v>
      </c>
      <c r="AD87" s="56">
        <f t="shared" si="34"/>
        <v>14280.1</v>
      </c>
      <c r="AE87" s="56">
        <f t="shared" si="35"/>
        <v>12502.6</v>
      </c>
      <c r="AF87" s="57">
        <f t="shared" si="36"/>
        <v>12502.6</v>
      </c>
      <c r="AG87" s="56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</row>
    <row r="88" spans="1:56" s="158" customFormat="1" ht="120.75" customHeight="1">
      <c r="A88" s="152"/>
      <c r="B88" s="174"/>
      <c r="C88" s="175" t="s">
        <v>640</v>
      </c>
      <c r="D88" s="153"/>
      <c r="E88" s="176"/>
      <c r="F88" s="153"/>
      <c r="G88" s="154"/>
      <c r="H88" s="153"/>
      <c r="I88" s="153"/>
      <c r="J88" s="153"/>
      <c r="K88" s="98" t="s">
        <v>641</v>
      </c>
      <c r="L88" s="176" t="s">
        <v>564</v>
      </c>
      <c r="M88" s="181" t="s">
        <v>642</v>
      </c>
      <c r="N88" s="179">
        <v>1002</v>
      </c>
      <c r="O88" s="180">
        <v>6300</v>
      </c>
      <c r="P88" s="123">
        <v>6075.8</v>
      </c>
      <c r="Q88" s="123">
        <v>7500</v>
      </c>
      <c r="R88" s="123">
        <v>7500</v>
      </c>
      <c r="S88" s="123">
        <v>7500</v>
      </c>
      <c r="T88" s="123">
        <v>7500</v>
      </c>
      <c r="U88" s="180">
        <v>6300</v>
      </c>
      <c r="V88" s="123">
        <v>6075.8</v>
      </c>
      <c r="W88" s="123">
        <v>7500</v>
      </c>
      <c r="X88" s="123">
        <v>7500</v>
      </c>
      <c r="Y88" s="123">
        <v>7500</v>
      </c>
      <c r="Z88" s="123">
        <v>7500</v>
      </c>
      <c r="AA88" s="55">
        <f t="shared" si="31"/>
        <v>7500</v>
      </c>
      <c r="AB88" s="56">
        <f t="shared" si="32"/>
        <v>7500</v>
      </c>
      <c r="AC88" s="56">
        <f t="shared" si="33"/>
        <v>7500</v>
      </c>
      <c r="AD88" s="56">
        <f t="shared" si="34"/>
        <v>7500</v>
      </c>
      <c r="AE88" s="56">
        <f t="shared" si="35"/>
        <v>7500</v>
      </c>
      <c r="AF88" s="57">
        <f t="shared" si="36"/>
        <v>7500</v>
      </c>
      <c r="AG88" s="56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</row>
    <row r="89" spans="1:56" s="158" customFormat="1" ht="102" customHeight="1">
      <c r="A89" s="152"/>
      <c r="B89" s="174"/>
      <c r="C89" s="175" t="s">
        <v>643</v>
      </c>
      <c r="D89" s="153"/>
      <c r="E89" s="176"/>
      <c r="F89" s="153"/>
      <c r="G89" s="154"/>
      <c r="H89" s="153"/>
      <c r="I89" s="153"/>
      <c r="J89" s="153"/>
      <c r="K89" s="98" t="s">
        <v>644</v>
      </c>
      <c r="L89" s="176" t="s">
        <v>564</v>
      </c>
      <c r="M89" s="181">
        <v>42644</v>
      </c>
      <c r="N89" s="179">
        <v>1006</v>
      </c>
      <c r="O89" s="180">
        <v>5380.2</v>
      </c>
      <c r="P89" s="123">
        <v>5279.2</v>
      </c>
      <c r="Q89" s="123">
        <v>7711.8</v>
      </c>
      <c r="R89" s="123">
        <v>7711.8</v>
      </c>
      <c r="S89" s="123">
        <v>7711.8</v>
      </c>
      <c r="T89" s="123">
        <v>7711.8</v>
      </c>
      <c r="U89" s="180">
        <v>5380.2</v>
      </c>
      <c r="V89" s="123">
        <v>5279.2</v>
      </c>
      <c r="W89" s="123">
        <v>7711.8</v>
      </c>
      <c r="X89" s="123">
        <v>7711.8</v>
      </c>
      <c r="Y89" s="123">
        <v>7711.8</v>
      </c>
      <c r="Z89" s="123">
        <v>7711.8</v>
      </c>
      <c r="AA89" s="55">
        <f t="shared" si="31"/>
        <v>7711.8</v>
      </c>
      <c r="AB89" s="56">
        <f t="shared" si="32"/>
        <v>7711.8</v>
      </c>
      <c r="AC89" s="56">
        <f t="shared" si="33"/>
        <v>7711.8</v>
      </c>
      <c r="AD89" s="56">
        <f t="shared" si="34"/>
        <v>7711.8</v>
      </c>
      <c r="AE89" s="56">
        <f t="shared" si="35"/>
        <v>7711.8</v>
      </c>
      <c r="AF89" s="57">
        <f t="shared" si="36"/>
        <v>7711.8</v>
      </c>
      <c r="AG89" s="56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</row>
    <row r="90" spans="1:56" s="158" customFormat="1" ht="171" customHeight="1">
      <c r="A90" s="152"/>
      <c r="B90" s="174"/>
      <c r="C90" s="182" t="s">
        <v>645</v>
      </c>
      <c r="D90" s="183"/>
      <c r="E90" s="176"/>
      <c r="F90" s="184"/>
      <c r="G90" s="154"/>
      <c r="H90" s="52"/>
      <c r="I90" s="52"/>
      <c r="J90" s="58"/>
      <c r="K90" s="98" t="s">
        <v>646</v>
      </c>
      <c r="L90" s="176" t="s">
        <v>564</v>
      </c>
      <c r="M90" s="181" t="s">
        <v>642</v>
      </c>
      <c r="N90" s="179" t="s">
        <v>79</v>
      </c>
      <c r="O90" s="180">
        <v>25963.7</v>
      </c>
      <c r="P90" s="123">
        <v>25259.9</v>
      </c>
      <c r="Q90" s="123">
        <v>25222.4</v>
      </c>
      <c r="R90" s="123">
        <v>27000</v>
      </c>
      <c r="S90" s="123">
        <v>27000</v>
      </c>
      <c r="T90" s="123">
        <v>27000</v>
      </c>
      <c r="U90" s="180">
        <v>25963.7</v>
      </c>
      <c r="V90" s="123">
        <v>25259.9</v>
      </c>
      <c r="W90" s="123">
        <v>25222.4</v>
      </c>
      <c r="X90" s="123">
        <v>27000</v>
      </c>
      <c r="Y90" s="123">
        <v>27000</v>
      </c>
      <c r="Z90" s="123">
        <v>27000</v>
      </c>
      <c r="AA90" s="55">
        <f t="shared" si="31"/>
        <v>25222.4</v>
      </c>
      <c r="AB90" s="56">
        <f t="shared" si="32"/>
        <v>27000</v>
      </c>
      <c r="AC90" s="56">
        <f t="shared" si="33"/>
        <v>27000</v>
      </c>
      <c r="AD90" s="56">
        <f t="shared" si="34"/>
        <v>25222.4</v>
      </c>
      <c r="AE90" s="56">
        <f t="shared" si="35"/>
        <v>27000</v>
      </c>
      <c r="AF90" s="57">
        <f t="shared" si="36"/>
        <v>27000</v>
      </c>
      <c r="AG90" s="56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</row>
    <row r="91" spans="1:56" s="158" customFormat="1" ht="102" customHeight="1">
      <c r="A91" s="152"/>
      <c r="B91" s="174"/>
      <c r="C91" s="175" t="s">
        <v>647</v>
      </c>
      <c r="D91" s="153"/>
      <c r="E91" s="176"/>
      <c r="F91" s="153"/>
      <c r="G91" s="154"/>
      <c r="H91" s="153"/>
      <c r="I91" s="153"/>
      <c r="J91" s="153"/>
      <c r="K91" s="98" t="s">
        <v>644</v>
      </c>
      <c r="L91" s="176" t="s">
        <v>564</v>
      </c>
      <c r="M91" s="185">
        <v>42644</v>
      </c>
      <c r="N91" s="179" t="s">
        <v>79</v>
      </c>
      <c r="O91" s="180">
        <v>1536.2</v>
      </c>
      <c r="P91" s="123">
        <v>1490.3</v>
      </c>
      <c r="Q91" s="123">
        <v>2620</v>
      </c>
      <c r="R91" s="123">
        <v>2620</v>
      </c>
      <c r="S91" s="123">
        <v>2620</v>
      </c>
      <c r="T91" s="123">
        <v>2620</v>
      </c>
      <c r="U91" s="180">
        <v>1536.2</v>
      </c>
      <c r="V91" s="123">
        <v>1490.3</v>
      </c>
      <c r="W91" s="123">
        <v>2620</v>
      </c>
      <c r="X91" s="123">
        <v>2620</v>
      </c>
      <c r="Y91" s="123">
        <v>2620</v>
      </c>
      <c r="Z91" s="123">
        <v>2620</v>
      </c>
      <c r="AA91" s="55">
        <f t="shared" si="31"/>
        <v>2620</v>
      </c>
      <c r="AB91" s="56">
        <f t="shared" si="32"/>
        <v>2620</v>
      </c>
      <c r="AC91" s="56">
        <f t="shared" si="33"/>
        <v>2620</v>
      </c>
      <c r="AD91" s="56">
        <f t="shared" si="34"/>
        <v>2620</v>
      </c>
      <c r="AE91" s="56">
        <f t="shared" si="35"/>
        <v>2620</v>
      </c>
      <c r="AF91" s="57">
        <f t="shared" si="36"/>
        <v>2620</v>
      </c>
      <c r="AG91" s="56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</row>
    <row r="92" spans="1:56" s="158" customFormat="1" ht="162" customHeight="1">
      <c r="A92" s="152"/>
      <c r="B92" s="174"/>
      <c r="C92" s="175" t="s">
        <v>648</v>
      </c>
      <c r="D92" s="153"/>
      <c r="E92" s="176"/>
      <c r="F92" s="153"/>
      <c r="G92" s="154"/>
      <c r="H92" s="153"/>
      <c r="I92" s="153"/>
      <c r="J92" s="153"/>
      <c r="K92" s="98" t="s">
        <v>649</v>
      </c>
      <c r="L92" s="176"/>
      <c r="M92" s="186" t="s">
        <v>642</v>
      </c>
      <c r="N92" s="179" t="s">
        <v>79</v>
      </c>
      <c r="O92" s="180"/>
      <c r="P92" s="123"/>
      <c r="Q92" s="123"/>
      <c r="R92" s="123"/>
      <c r="S92" s="123"/>
      <c r="T92" s="123"/>
      <c r="U92" s="180"/>
      <c r="V92" s="123"/>
      <c r="W92" s="123"/>
      <c r="X92" s="123"/>
      <c r="Y92" s="123"/>
      <c r="Z92" s="123"/>
      <c r="AA92" s="55">
        <f t="shared" si="31"/>
        <v>0</v>
      </c>
      <c r="AB92" s="56">
        <f t="shared" si="32"/>
        <v>0</v>
      </c>
      <c r="AC92" s="56">
        <f t="shared" si="33"/>
        <v>0</v>
      </c>
      <c r="AD92" s="56">
        <f t="shared" si="34"/>
        <v>0</v>
      </c>
      <c r="AE92" s="56">
        <f t="shared" si="35"/>
        <v>0</v>
      </c>
      <c r="AF92" s="57">
        <f t="shared" si="36"/>
        <v>0</v>
      </c>
      <c r="AG92" s="123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</row>
    <row r="93" spans="1:56" s="158" customFormat="1" ht="123" customHeight="1">
      <c r="A93" s="152"/>
      <c r="B93" s="340"/>
      <c r="C93" s="341" t="s">
        <v>650</v>
      </c>
      <c r="D93" s="342"/>
      <c r="E93" s="343"/>
      <c r="F93" s="344"/>
      <c r="G93" s="338"/>
      <c r="H93" s="312"/>
      <c r="I93" s="312"/>
      <c r="J93" s="313"/>
      <c r="K93" s="98" t="s">
        <v>651</v>
      </c>
      <c r="L93" s="176"/>
      <c r="M93" s="185">
        <v>42370</v>
      </c>
      <c r="N93" s="345" t="s">
        <v>79</v>
      </c>
      <c r="O93" s="346">
        <v>432</v>
      </c>
      <c r="P93" s="347">
        <v>398</v>
      </c>
      <c r="Q93" s="347">
        <v>420.2</v>
      </c>
      <c r="R93" s="347">
        <v>420.2</v>
      </c>
      <c r="S93" s="347">
        <v>420.2</v>
      </c>
      <c r="T93" s="348">
        <v>420.2</v>
      </c>
      <c r="U93" s="346">
        <v>432</v>
      </c>
      <c r="V93" s="347">
        <v>398</v>
      </c>
      <c r="W93" s="347">
        <v>420.2</v>
      </c>
      <c r="X93" s="347">
        <v>420.2</v>
      </c>
      <c r="Y93" s="347">
        <v>420.2</v>
      </c>
      <c r="Z93" s="347">
        <v>420.2</v>
      </c>
      <c r="AA93" s="315">
        <f t="shared" si="31"/>
        <v>420.2</v>
      </c>
      <c r="AB93" s="316">
        <f t="shared" si="32"/>
        <v>420.2</v>
      </c>
      <c r="AC93" s="316">
        <f t="shared" si="33"/>
        <v>420.2</v>
      </c>
      <c r="AD93" s="316">
        <f t="shared" si="34"/>
        <v>420.2</v>
      </c>
      <c r="AE93" s="316">
        <f t="shared" si="35"/>
        <v>420.2</v>
      </c>
      <c r="AF93" s="317">
        <f t="shared" si="36"/>
        <v>420.2</v>
      </c>
      <c r="AG93" s="347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</row>
    <row r="94" spans="1:56" s="158" customFormat="1" ht="107.25" customHeight="1">
      <c r="A94" s="152"/>
      <c r="B94" s="340"/>
      <c r="C94" s="341"/>
      <c r="D94" s="342"/>
      <c r="E94" s="343"/>
      <c r="F94" s="344"/>
      <c r="G94" s="338"/>
      <c r="H94" s="312"/>
      <c r="I94" s="312"/>
      <c r="J94" s="313"/>
      <c r="K94" s="187" t="s">
        <v>652</v>
      </c>
      <c r="L94" s="153" t="s">
        <v>77</v>
      </c>
      <c r="M94" s="188" t="s">
        <v>653</v>
      </c>
      <c r="N94" s="345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347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</row>
    <row r="95" spans="1:56" s="158" customFormat="1" ht="24.75" customHeight="1">
      <c r="A95" s="152"/>
      <c r="B95" s="174"/>
      <c r="C95" s="189" t="s">
        <v>654</v>
      </c>
      <c r="D95" s="183"/>
      <c r="E95" s="176"/>
      <c r="F95" s="184"/>
      <c r="G95" s="154"/>
      <c r="H95" s="52"/>
      <c r="I95" s="52"/>
      <c r="J95" s="58"/>
      <c r="K95" s="187"/>
      <c r="L95" s="153"/>
      <c r="M95" s="188"/>
      <c r="N95" s="179" t="s">
        <v>79</v>
      </c>
      <c r="O95" s="180">
        <v>1317.1</v>
      </c>
      <c r="P95" s="123">
        <v>1317.1</v>
      </c>
      <c r="Q95" s="123"/>
      <c r="R95" s="123"/>
      <c r="S95" s="123"/>
      <c r="T95" s="123"/>
      <c r="U95" s="180">
        <v>1317.1</v>
      </c>
      <c r="V95" s="123">
        <v>1317.1</v>
      </c>
      <c r="W95" s="123"/>
      <c r="X95" s="123"/>
      <c r="Y95" s="123"/>
      <c r="Z95" s="123"/>
      <c r="AA95" s="55">
        <f>Q95</f>
        <v>0</v>
      </c>
      <c r="AB95" s="56">
        <f>R95</f>
        <v>0</v>
      </c>
      <c r="AC95" s="56">
        <f>S95</f>
        <v>0</v>
      </c>
      <c r="AD95" s="56">
        <f>W95</f>
        <v>0</v>
      </c>
      <c r="AE95" s="56">
        <f>X95</f>
        <v>0</v>
      </c>
      <c r="AF95" s="57">
        <f>Y95</f>
        <v>0</v>
      </c>
      <c r="AG95" s="123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</row>
    <row r="96" spans="1:56" s="155" customFormat="1" ht="53.25" customHeight="1">
      <c r="A96" s="152"/>
      <c r="B96" s="174"/>
      <c r="C96" s="189" t="s">
        <v>655</v>
      </c>
      <c r="D96" s="183"/>
      <c r="E96" s="176"/>
      <c r="F96" s="153"/>
      <c r="G96" s="154"/>
      <c r="H96" s="190" t="s">
        <v>656</v>
      </c>
      <c r="I96" s="153"/>
      <c r="J96" s="154"/>
      <c r="K96" s="190" t="s">
        <v>657</v>
      </c>
      <c r="L96" s="154"/>
      <c r="M96" s="191"/>
      <c r="N96" s="179" t="s">
        <v>79</v>
      </c>
      <c r="O96" s="180">
        <v>434.6</v>
      </c>
      <c r="P96" s="123">
        <v>345.4</v>
      </c>
      <c r="Q96" s="123">
        <v>752</v>
      </c>
      <c r="R96" s="123">
        <v>752</v>
      </c>
      <c r="S96" s="123">
        <v>752</v>
      </c>
      <c r="T96" s="123">
        <v>752</v>
      </c>
      <c r="U96" s="180">
        <v>434.6</v>
      </c>
      <c r="V96" s="123">
        <v>345.4</v>
      </c>
      <c r="W96" s="123">
        <v>752</v>
      </c>
      <c r="X96" s="123">
        <v>752</v>
      </c>
      <c r="Y96" s="123">
        <v>752</v>
      </c>
      <c r="Z96" s="123">
        <v>752</v>
      </c>
      <c r="AA96" s="55">
        <f>Q96</f>
        <v>752</v>
      </c>
      <c r="AB96" s="56">
        <f>R96</f>
        <v>752</v>
      </c>
      <c r="AC96" s="56">
        <f>S96</f>
        <v>752</v>
      </c>
      <c r="AD96" s="56">
        <f>W96</f>
        <v>752</v>
      </c>
      <c r="AE96" s="56">
        <f>X96</f>
        <v>752</v>
      </c>
      <c r="AF96" s="57">
        <f>Y96</f>
        <v>752</v>
      </c>
      <c r="AG96" s="123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</row>
    <row r="97" spans="1:79" s="132" customFormat="1" ht="135" customHeight="1">
      <c r="A97" s="43"/>
      <c r="B97" s="192" t="s">
        <v>658</v>
      </c>
      <c r="C97" s="136" t="s">
        <v>659</v>
      </c>
      <c r="D97" s="135">
        <v>3100</v>
      </c>
      <c r="E97" s="130"/>
      <c r="F97" s="45"/>
      <c r="G97" s="131"/>
      <c r="H97" s="44"/>
      <c r="I97" s="44"/>
      <c r="J97" s="127"/>
      <c r="K97" s="44"/>
      <c r="L97" s="44"/>
      <c r="M97" s="127"/>
      <c r="N97" s="35"/>
      <c r="O97" s="193">
        <f aca="true" t="shared" si="37" ref="O97:AF97">SUM(O98,O105,O137)</f>
        <v>848747.5</v>
      </c>
      <c r="P97" s="194">
        <f t="shared" si="37"/>
        <v>841788.4999999999</v>
      </c>
      <c r="Q97" s="194">
        <f t="shared" si="37"/>
        <v>815034.2</v>
      </c>
      <c r="R97" s="194">
        <f t="shared" si="37"/>
        <v>782500.5</v>
      </c>
      <c r="S97" s="194">
        <f t="shared" si="37"/>
        <v>752909.7</v>
      </c>
      <c r="T97" s="195">
        <f t="shared" si="37"/>
        <v>752909.7</v>
      </c>
      <c r="U97" s="193">
        <f t="shared" si="37"/>
        <v>848747.5</v>
      </c>
      <c r="V97" s="194">
        <f t="shared" si="37"/>
        <v>841788.4999999999</v>
      </c>
      <c r="W97" s="194">
        <f t="shared" si="37"/>
        <v>815034.2</v>
      </c>
      <c r="X97" s="194">
        <f t="shared" si="37"/>
        <v>782500.5</v>
      </c>
      <c r="Y97" s="194">
        <f t="shared" si="37"/>
        <v>752909.7</v>
      </c>
      <c r="Z97" s="195">
        <f t="shared" si="37"/>
        <v>752909.7</v>
      </c>
      <c r="AA97" s="193">
        <f t="shared" si="37"/>
        <v>814969.2999999999</v>
      </c>
      <c r="AB97" s="194">
        <f t="shared" si="37"/>
        <v>782435.6</v>
      </c>
      <c r="AC97" s="194">
        <f t="shared" si="37"/>
        <v>752909.7</v>
      </c>
      <c r="AD97" s="194">
        <f t="shared" si="37"/>
        <v>815034.2</v>
      </c>
      <c r="AE97" s="194">
        <f t="shared" si="37"/>
        <v>782500.5</v>
      </c>
      <c r="AF97" s="194">
        <f t="shared" si="37"/>
        <v>752909.7</v>
      </c>
      <c r="AG97" s="194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</row>
    <row r="98" spans="1:79" s="198" customFormat="1" ht="30" customHeight="1">
      <c r="A98" s="138"/>
      <c r="B98" s="139" t="s">
        <v>660</v>
      </c>
      <c r="C98" s="140" t="s">
        <v>661</v>
      </c>
      <c r="D98" s="139">
        <v>3101</v>
      </c>
      <c r="E98" s="141"/>
      <c r="F98" s="142"/>
      <c r="G98" s="142"/>
      <c r="H98" s="142"/>
      <c r="I98" s="142"/>
      <c r="J98" s="142"/>
      <c r="K98" s="142"/>
      <c r="L98" s="142"/>
      <c r="M98" s="168"/>
      <c r="N98" s="169"/>
      <c r="O98" s="170">
        <f aca="true" t="shared" si="38" ref="O98:AF98">SUM(O99,O101,O102,O104)</f>
        <v>99709.4</v>
      </c>
      <c r="P98" s="196">
        <f t="shared" si="38"/>
        <v>97778.4</v>
      </c>
      <c r="Q98" s="170">
        <f t="shared" si="38"/>
        <v>101654</v>
      </c>
      <c r="R98" s="171">
        <f t="shared" si="38"/>
        <v>103418</v>
      </c>
      <c r="S98" s="171">
        <f t="shared" si="38"/>
        <v>105080.6</v>
      </c>
      <c r="T98" s="171">
        <f t="shared" si="38"/>
        <v>105080.6</v>
      </c>
      <c r="U98" s="170">
        <f t="shared" si="38"/>
        <v>99709.4</v>
      </c>
      <c r="V98" s="171">
        <f t="shared" si="38"/>
        <v>97778.4</v>
      </c>
      <c r="W98" s="171">
        <f t="shared" si="38"/>
        <v>101654</v>
      </c>
      <c r="X98" s="171">
        <f t="shared" si="38"/>
        <v>103418</v>
      </c>
      <c r="Y98" s="171">
        <f t="shared" si="38"/>
        <v>105080.6</v>
      </c>
      <c r="Z98" s="196">
        <f t="shared" si="38"/>
        <v>105080.6</v>
      </c>
      <c r="AA98" s="171">
        <f t="shared" si="38"/>
        <v>101654</v>
      </c>
      <c r="AB98" s="171">
        <f t="shared" si="38"/>
        <v>103418</v>
      </c>
      <c r="AC98" s="171">
        <f t="shared" si="38"/>
        <v>105080.6</v>
      </c>
      <c r="AD98" s="171">
        <f t="shared" si="38"/>
        <v>101654</v>
      </c>
      <c r="AE98" s="171">
        <f t="shared" si="38"/>
        <v>103418</v>
      </c>
      <c r="AF98" s="171">
        <f t="shared" si="38"/>
        <v>105080.6</v>
      </c>
      <c r="AG98" s="171"/>
      <c r="AH98" s="149"/>
      <c r="AI98" s="149"/>
      <c r="AJ98" s="149" t="s">
        <v>662</v>
      </c>
      <c r="AK98" s="149" t="s">
        <v>663</v>
      </c>
      <c r="AL98" s="149" t="s">
        <v>664</v>
      </c>
      <c r="AM98" s="149" t="s">
        <v>665</v>
      </c>
      <c r="AN98" s="149" t="s">
        <v>666</v>
      </c>
      <c r="AO98" s="149" t="s">
        <v>667</v>
      </c>
      <c r="AP98" s="149" t="s">
        <v>668</v>
      </c>
      <c r="AQ98" s="149" t="s">
        <v>669</v>
      </c>
      <c r="AR98" s="149" t="s">
        <v>670</v>
      </c>
      <c r="AS98" s="149" t="s">
        <v>671</v>
      </c>
      <c r="AT98" s="149" t="s">
        <v>672</v>
      </c>
      <c r="AU98" s="149" t="s">
        <v>673</v>
      </c>
      <c r="AV98" s="149" t="s">
        <v>674</v>
      </c>
      <c r="AW98" s="149" t="s">
        <v>675</v>
      </c>
      <c r="AX98" s="149" t="s">
        <v>676</v>
      </c>
      <c r="AY98" s="149" t="s">
        <v>677</v>
      </c>
      <c r="AZ98" s="149" t="s">
        <v>678</v>
      </c>
      <c r="BA98" s="149"/>
      <c r="BB98" s="149"/>
      <c r="BC98" s="149"/>
      <c r="BD98" s="149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7"/>
      <c r="BZ98" s="197"/>
      <c r="CA98" s="197"/>
    </row>
    <row r="99" spans="1:79" s="200" customFormat="1" ht="132">
      <c r="A99" s="199"/>
      <c r="B99" s="49" t="s">
        <v>679</v>
      </c>
      <c r="C99" s="50" t="s">
        <v>680</v>
      </c>
      <c r="D99" s="51">
        <v>3102</v>
      </c>
      <c r="E99" s="44" t="s">
        <v>73</v>
      </c>
      <c r="F99" s="52" t="s">
        <v>681</v>
      </c>
      <c r="G99" s="58">
        <v>37900</v>
      </c>
      <c r="H99" s="86" t="s">
        <v>682</v>
      </c>
      <c r="I99" s="52" t="s">
        <v>683</v>
      </c>
      <c r="J99" s="58">
        <v>38718</v>
      </c>
      <c r="K99" s="58"/>
      <c r="L99" s="58"/>
      <c r="M99" s="133"/>
      <c r="N99" s="54" t="s">
        <v>684</v>
      </c>
      <c r="O99" s="55">
        <v>4578.8</v>
      </c>
      <c r="P99" s="56">
        <v>4578.8</v>
      </c>
      <c r="Q99" s="56">
        <v>4868.3</v>
      </c>
      <c r="R99" s="56">
        <v>5258.5</v>
      </c>
      <c r="S99" s="56">
        <v>5502</v>
      </c>
      <c r="T99" s="56">
        <v>5502</v>
      </c>
      <c r="U99" s="55">
        <v>4578.8</v>
      </c>
      <c r="V99" s="56">
        <v>4578.8</v>
      </c>
      <c r="W99" s="56">
        <v>4868.3</v>
      </c>
      <c r="X99" s="56">
        <v>5258.5</v>
      </c>
      <c r="Y99" s="56">
        <v>5502</v>
      </c>
      <c r="Z99" s="56">
        <v>5502</v>
      </c>
      <c r="AA99" s="55">
        <f>Q99</f>
        <v>4868.3</v>
      </c>
      <c r="AB99" s="56">
        <f>R99</f>
        <v>5258.5</v>
      </c>
      <c r="AC99" s="56">
        <f>S99</f>
        <v>5502</v>
      </c>
      <c r="AD99" s="56">
        <f>W99</f>
        <v>4868.3</v>
      </c>
      <c r="AE99" s="56">
        <f>X99</f>
        <v>5258.5</v>
      </c>
      <c r="AF99" s="57">
        <f>Y99</f>
        <v>5502</v>
      </c>
      <c r="AG99" s="56" t="s">
        <v>80</v>
      </c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</row>
    <row r="100" spans="1:79" s="210" customFormat="1" ht="107.25" customHeight="1">
      <c r="A100" s="201"/>
      <c r="B100" s="202"/>
      <c r="C100" s="203"/>
      <c r="D100" s="202"/>
      <c r="E100" s="204" t="s">
        <v>685</v>
      </c>
      <c r="F100" s="83"/>
      <c r="G100" s="205"/>
      <c r="H100" s="206"/>
      <c r="I100" s="83"/>
      <c r="J100" s="205"/>
      <c r="K100" s="205"/>
      <c r="L100" s="205"/>
      <c r="M100" s="207"/>
      <c r="N100" s="66" t="s">
        <v>684</v>
      </c>
      <c r="O100" s="67">
        <f aca="true" t="shared" si="39" ref="O100:Z100">O99</f>
        <v>4578.8</v>
      </c>
      <c r="P100" s="68">
        <f t="shared" si="39"/>
        <v>4578.8</v>
      </c>
      <c r="Q100" s="68">
        <f t="shared" si="39"/>
        <v>4868.3</v>
      </c>
      <c r="R100" s="68">
        <f t="shared" si="39"/>
        <v>5258.5</v>
      </c>
      <c r="S100" s="68">
        <f t="shared" si="39"/>
        <v>5502</v>
      </c>
      <c r="T100" s="68">
        <f t="shared" si="39"/>
        <v>5502</v>
      </c>
      <c r="U100" s="67">
        <f t="shared" si="39"/>
        <v>4578.8</v>
      </c>
      <c r="V100" s="68">
        <f t="shared" si="39"/>
        <v>4578.8</v>
      </c>
      <c r="W100" s="68">
        <f t="shared" si="39"/>
        <v>4868.3</v>
      </c>
      <c r="X100" s="68">
        <f t="shared" si="39"/>
        <v>5258.5</v>
      </c>
      <c r="Y100" s="68">
        <f t="shared" si="39"/>
        <v>5502</v>
      </c>
      <c r="Z100" s="116">
        <f t="shared" si="39"/>
        <v>5502</v>
      </c>
      <c r="AA100" s="69">
        <f>Q100</f>
        <v>4868.3</v>
      </c>
      <c r="AB100" s="70">
        <f>R100</f>
        <v>5258.5</v>
      </c>
      <c r="AC100" s="70">
        <f>S100</f>
        <v>5502</v>
      </c>
      <c r="AD100" s="70">
        <f>W100</f>
        <v>4868.3</v>
      </c>
      <c r="AE100" s="70">
        <f>X100</f>
        <v>5258.5</v>
      </c>
      <c r="AF100" s="71">
        <f>Y100</f>
        <v>5502</v>
      </c>
      <c r="AG100" s="6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9"/>
      <c r="BF100" s="209"/>
      <c r="BG100" s="209"/>
      <c r="BH100" s="209"/>
      <c r="BI100" s="209"/>
      <c r="BJ100" s="209"/>
      <c r="BK100" s="209"/>
      <c r="BL100" s="209"/>
      <c r="BM100" s="209"/>
      <c r="BN100" s="209"/>
      <c r="BO100" s="209"/>
      <c r="BP100" s="209"/>
      <c r="BQ100" s="209"/>
      <c r="BR100" s="209"/>
      <c r="BS100" s="209"/>
      <c r="BT100" s="209"/>
      <c r="BU100" s="209"/>
      <c r="BV100" s="209"/>
      <c r="BW100" s="209"/>
      <c r="BX100" s="209"/>
      <c r="BY100" s="209"/>
      <c r="BZ100" s="209"/>
      <c r="CA100" s="209"/>
    </row>
    <row r="101" spans="1:79" s="200" customFormat="1" ht="77.25" customHeight="1">
      <c r="A101" s="199"/>
      <c r="B101" s="49" t="s">
        <v>686</v>
      </c>
      <c r="C101" s="50" t="s">
        <v>687</v>
      </c>
      <c r="D101" s="51">
        <v>3103</v>
      </c>
      <c r="E101" s="44" t="s">
        <v>73</v>
      </c>
      <c r="F101" s="52" t="s">
        <v>681</v>
      </c>
      <c r="G101" s="58">
        <v>37900</v>
      </c>
      <c r="H101" s="211"/>
      <c r="I101" s="172"/>
      <c r="J101" s="172"/>
      <c r="K101" s="172"/>
      <c r="L101" s="172"/>
      <c r="M101" s="212"/>
      <c r="N101" s="54" t="s">
        <v>688</v>
      </c>
      <c r="O101" s="55">
        <v>2.1</v>
      </c>
      <c r="P101" s="56">
        <v>2.1</v>
      </c>
      <c r="Q101" s="56">
        <v>5.5</v>
      </c>
      <c r="R101" s="56">
        <v>5.7</v>
      </c>
      <c r="S101" s="56">
        <v>298.6</v>
      </c>
      <c r="T101" s="56">
        <v>298.6</v>
      </c>
      <c r="U101" s="55">
        <v>2.1</v>
      </c>
      <c r="V101" s="56">
        <v>2.1</v>
      </c>
      <c r="W101" s="56">
        <v>5.5</v>
      </c>
      <c r="X101" s="56">
        <v>5.7</v>
      </c>
      <c r="Y101" s="56">
        <v>298.6</v>
      </c>
      <c r="Z101" s="56">
        <v>298.6</v>
      </c>
      <c r="AA101" s="55">
        <f>Q101</f>
        <v>5.5</v>
      </c>
      <c r="AB101" s="56">
        <f>R101</f>
        <v>5.7</v>
      </c>
      <c r="AC101" s="56">
        <f>S101</f>
        <v>298.6</v>
      </c>
      <c r="AD101" s="56">
        <f>W101</f>
        <v>5.5</v>
      </c>
      <c r="AE101" s="56">
        <f>X101</f>
        <v>5.7</v>
      </c>
      <c r="AF101" s="57">
        <f>Y101</f>
        <v>298.6</v>
      </c>
      <c r="AG101" s="56" t="s">
        <v>80</v>
      </c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</row>
    <row r="102" spans="1:79" s="213" customFormat="1" ht="76.5" customHeight="1">
      <c r="A102" s="8"/>
      <c r="B102" s="300" t="s">
        <v>689</v>
      </c>
      <c r="C102" s="319" t="s">
        <v>690</v>
      </c>
      <c r="D102" s="312">
        <v>3108</v>
      </c>
      <c r="E102" s="44" t="s">
        <v>73</v>
      </c>
      <c r="F102" s="52" t="s">
        <v>681</v>
      </c>
      <c r="G102" s="58">
        <v>37900</v>
      </c>
      <c r="H102" s="320" t="s">
        <v>691</v>
      </c>
      <c r="I102" s="312" t="s">
        <v>692</v>
      </c>
      <c r="J102" s="313">
        <v>38718</v>
      </c>
      <c r="K102" s="333" t="s">
        <v>171</v>
      </c>
      <c r="L102" s="311" t="s">
        <v>77</v>
      </c>
      <c r="M102" s="349" t="s">
        <v>172</v>
      </c>
      <c r="N102" s="314">
        <v>1003</v>
      </c>
      <c r="O102" s="315">
        <v>85530.1</v>
      </c>
      <c r="P102" s="316">
        <v>83599.1</v>
      </c>
      <c r="Q102" s="316">
        <v>87107.4</v>
      </c>
      <c r="R102" s="316">
        <v>88151.2</v>
      </c>
      <c r="S102" s="316">
        <v>88877.2</v>
      </c>
      <c r="T102" s="316">
        <v>88877.2</v>
      </c>
      <c r="U102" s="315">
        <v>85530.1</v>
      </c>
      <c r="V102" s="316">
        <v>83599.1</v>
      </c>
      <c r="W102" s="316">
        <v>87107.4</v>
      </c>
      <c r="X102" s="316">
        <v>88151.2</v>
      </c>
      <c r="Y102" s="316">
        <v>88877.2</v>
      </c>
      <c r="Z102" s="316">
        <v>88877.2</v>
      </c>
      <c r="AA102" s="315">
        <f>Q102</f>
        <v>87107.4</v>
      </c>
      <c r="AB102" s="316">
        <f>R102</f>
        <v>88151.2</v>
      </c>
      <c r="AC102" s="316">
        <f>S102</f>
        <v>88877.2</v>
      </c>
      <c r="AD102" s="316">
        <f>W102</f>
        <v>87107.4</v>
      </c>
      <c r="AE102" s="316">
        <f>X102</f>
        <v>88151.2</v>
      </c>
      <c r="AF102" s="317">
        <f>Y102</f>
        <v>88877.2</v>
      </c>
      <c r="AG102" s="316" t="s">
        <v>80</v>
      </c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79" s="213" customFormat="1" ht="51.75" customHeight="1">
      <c r="A103" s="8"/>
      <c r="B103" s="300"/>
      <c r="C103" s="319"/>
      <c r="D103" s="312"/>
      <c r="E103" s="98" t="s">
        <v>693</v>
      </c>
      <c r="F103" s="52" t="s">
        <v>694</v>
      </c>
      <c r="G103" s="58">
        <v>34724</v>
      </c>
      <c r="H103" s="320"/>
      <c r="I103" s="312"/>
      <c r="J103" s="313"/>
      <c r="K103" s="333"/>
      <c r="L103" s="311"/>
      <c r="M103" s="349"/>
      <c r="N103" s="314"/>
      <c r="O103" s="315"/>
      <c r="P103" s="316"/>
      <c r="Q103" s="316"/>
      <c r="R103" s="316"/>
      <c r="S103" s="316"/>
      <c r="T103" s="316"/>
      <c r="U103" s="315"/>
      <c r="V103" s="316"/>
      <c r="W103" s="316"/>
      <c r="X103" s="316"/>
      <c r="Y103" s="316"/>
      <c r="Z103" s="316"/>
      <c r="AA103" s="315"/>
      <c r="AB103" s="316"/>
      <c r="AC103" s="316"/>
      <c r="AD103" s="316"/>
      <c r="AE103" s="316"/>
      <c r="AF103" s="317"/>
      <c r="AG103" s="316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s="213" customFormat="1" ht="120.75" customHeight="1">
      <c r="A104" s="8"/>
      <c r="B104" s="18" t="s">
        <v>695</v>
      </c>
      <c r="C104" s="85" t="s">
        <v>696</v>
      </c>
      <c r="D104" s="52">
        <v>3109</v>
      </c>
      <c r="E104" s="44" t="s">
        <v>73</v>
      </c>
      <c r="F104" s="52" t="s">
        <v>681</v>
      </c>
      <c r="G104" s="58">
        <v>37900</v>
      </c>
      <c r="H104" s="86" t="s">
        <v>691</v>
      </c>
      <c r="I104" s="52" t="s">
        <v>697</v>
      </c>
      <c r="J104" s="58"/>
      <c r="K104" s="98" t="s">
        <v>171</v>
      </c>
      <c r="L104" s="44" t="s">
        <v>77</v>
      </c>
      <c r="M104" s="78" t="s">
        <v>172</v>
      </c>
      <c r="N104" s="54">
        <v>1003</v>
      </c>
      <c r="O104" s="55">
        <v>9598.4</v>
      </c>
      <c r="P104" s="56">
        <v>9598.4</v>
      </c>
      <c r="Q104" s="56">
        <v>9672.8</v>
      </c>
      <c r="R104" s="56">
        <v>10002.6</v>
      </c>
      <c r="S104" s="56">
        <v>10402.8</v>
      </c>
      <c r="T104" s="56">
        <v>10402.8</v>
      </c>
      <c r="U104" s="55">
        <v>9598.4</v>
      </c>
      <c r="V104" s="56">
        <v>9598.4</v>
      </c>
      <c r="W104" s="56">
        <v>9672.8</v>
      </c>
      <c r="X104" s="56">
        <v>10002.6</v>
      </c>
      <c r="Y104" s="56">
        <v>10402.8</v>
      </c>
      <c r="Z104" s="56">
        <v>10402.8</v>
      </c>
      <c r="AA104" s="55">
        <f>Q104</f>
        <v>9672.8</v>
      </c>
      <c r="AB104" s="56">
        <f>R104</f>
        <v>10002.6</v>
      </c>
      <c r="AC104" s="56">
        <f>S104</f>
        <v>10402.8</v>
      </c>
      <c r="AD104" s="56">
        <f>W104</f>
        <v>9672.8</v>
      </c>
      <c r="AE104" s="56">
        <f>X104</f>
        <v>10002.6</v>
      </c>
      <c r="AF104" s="57">
        <f>Y104</f>
        <v>10402.8</v>
      </c>
      <c r="AG104" s="56" t="s">
        <v>80</v>
      </c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s="151" customFormat="1" ht="40.5">
      <c r="A105" s="138"/>
      <c r="B105" s="214" t="s">
        <v>698</v>
      </c>
      <c r="C105" s="215" t="s">
        <v>699</v>
      </c>
      <c r="D105" s="214">
        <v>3200</v>
      </c>
      <c r="E105" s="216"/>
      <c r="F105" s="217"/>
      <c r="G105" s="217"/>
      <c r="H105" s="218"/>
      <c r="I105" s="45"/>
      <c r="J105" s="131"/>
      <c r="K105" s="131"/>
      <c r="L105" s="131"/>
      <c r="M105" s="219"/>
      <c r="N105" s="169"/>
      <c r="O105" s="171">
        <f aca="true" t="shared" si="40" ref="O105:Z105">SUM(O106,O107,O108,O109,O111,O113,O114,O131,O133,O134,O132)</f>
        <v>745641</v>
      </c>
      <c r="P105" s="171">
        <f t="shared" si="40"/>
        <v>740612.9999999999</v>
      </c>
      <c r="Q105" s="171">
        <f t="shared" si="40"/>
        <v>709263.6</v>
      </c>
      <c r="R105" s="171">
        <f t="shared" si="40"/>
        <v>674801.2</v>
      </c>
      <c r="S105" s="171">
        <f t="shared" si="40"/>
        <v>643376.6</v>
      </c>
      <c r="T105" s="196">
        <f t="shared" si="40"/>
        <v>643376.6</v>
      </c>
      <c r="U105" s="171">
        <f t="shared" si="40"/>
        <v>745641</v>
      </c>
      <c r="V105" s="171">
        <f t="shared" si="40"/>
        <v>740612.9999999999</v>
      </c>
      <c r="W105" s="171">
        <f t="shared" si="40"/>
        <v>709263.6</v>
      </c>
      <c r="X105" s="171">
        <f t="shared" si="40"/>
        <v>674801.2</v>
      </c>
      <c r="Y105" s="171">
        <f t="shared" si="40"/>
        <v>643376.6</v>
      </c>
      <c r="Z105" s="171">
        <f t="shared" si="40"/>
        <v>643376.6</v>
      </c>
      <c r="AA105" s="170">
        <f>SUM(AA106,AA107,AA108,AA109,AA111,AA113,AA114,AA131,AA133,AA134)</f>
        <v>709198.7</v>
      </c>
      <c r="AB105" s="171">
        <f>SUM(AB106,AB107,AB108,AB109,AB111,AB113,AB114,AB131,AB133,AB134)</f>
        <v>674736.2999999999</v>
      </c>
      <c r="AC105" s="171">
        <f>SUM(AC106,AC107,AC108,AC109,AC111,AC113,AC114,AC131,AC133,AC134,AC132)</f>
        <v>643376.6</v>
      </c>
      <c r="AD105" s="171">
        <f>SUM(AD106,AD107,AD108,AD109,AD111,AD113,AD114,AD131,AD133,AD134,AD132)</f>
        <v>709263.6</v>
      </c>
      <c r="AE105" s="171">
        <f>SUM(AE106,AE107,AE108,AE109,AE111,AE113,AE114,AE131,AE133,AE134,AE132)</f>
        <v>674801.2</v>
      </c>
      <c r="AF105" s="220">
        <f>SUM(AF106,AF107,AF108,AF109,AF111,AF113,AF114,AF131,AF133,AF134,AF132)</f>
        <v>643376.6</v>
      </c>
      <c r="AG105" s="171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50"/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0"/>
      <c r="BX105" s="150"/>
      <c r="BY105" s="150"/>
      <c r="BZ105" s="150"/>
      <c r="CA105" s="150"/>
    </row>
    <row r="106" spans="1:79" s="221" customFormat="1" ht="120.75" customHeight="1">
      <c r="A106" s="199"/>
      <c r="B106" s="49" t="s">
        <v>700</v>
      </c>
      <c r="C106" s="75" t="s">
        <v>701</v>
      </c>
      <c r="D106" s="49">
        <v>3201</v>
      </c>
      <c r="E106" s="44" t="s">
        <v>73</v>
      </c>
      <c r="F106" s="52" t="s">
        <v>681</v>
      </c>
      <c r="G106" s="58">
        <v>37900</v>
      </c>
      <c r="H106" s="86" t="s">
        <v>691</v>
      </c>
      <c r="I106" s="52" t="s">
        <v>702</v>
      </c>
      <c r="J106" s="58">
        <v>38718</v>
      </c>
      <c r="K106" s="98" t="s">
        <v>171</v>
      </c>
      <c r="L106" s="44" t="s">
        <v>77</v>
      </c>
      <c r="M106" s="78" t="s">
        <v>172</v>
      </c>
      <c r="N106" s="54" t="s">
        <v>703</v>
      </c>
      <c r="O106" s="55">
        <v>19865.1</v>
      </c>
      <c r="P106" s="56">
        <v>19849.5</v>
      </c>
      <c r="Q106" s="56">
        <v>21659.2</v>
      </c>
      <c r="R106" s="56">
        <v>21659.2</v>
      </c>
      <c r="S106" s="56">
        <v>21659.2</v>
      </c>
      <c r="T106" s="56">
        <v>21659.2</v>
      </c>
      <c r="U106" s="55">
        <v>19865.1</v>
      </c>
      <c r="V106" s="56">
        <v>19849.5</v>
      </c>
      <c r="W106" s="56">
        <v>21659.2</v>
      </c>
      <c r="X106" s="56">
        <v>21659.2</v>
      </c>
      <c r="Y106" s="56">
        <v>21659.2</v>
      </c>
      <c r="Z106" s="56">
        <v>21659.2</v>
      </c>
      <c r="AA106" s="55">
        <f>Q106</f>
        <v>21659.2</v>
      </c>
      <c r="AB106" s="56">
        <f>R106</f>
        <v>21659.2</v>
      </c>
      <c r="AC106" s="56">
        <f>S106</f>
        <v>21659.2</v>
      </c>
      <c r="AD106" s="56">
        <f>W106</f>
        <v>21659.2</v>
      </c>
      <c r="AE106" s="56">
        <f>X106</f>
        <v>21659.2</v>
      </c>
      <c r="AF106" s="57">
        <f>Y106</f>
        <v>21659.2</v>
      </c>
      <c r="AG106" s="56" t="s">
        <v>80</v>
      </c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</row>
    <row r="107" spans="1:79" s="221" customFormat="1" ht="119.25" customHeight="1">
      <c r="A107" s="199"/>
      <c r="B107" s="49" t="s">
        <v>704</v>
      </c>
      <c r="C107" s="75" t="s">
        <v>705</v>
      </c>
      <c r="D107" s="49">
        <v>3202</v>
      </c>
      <c r="E107" s="44" t="s">
        <v>73</v>
      </c>
      <c r="F107" s="52" t="s">
        <v>681</v>
      </c>
      <c r="G107" s="58">
        <v>37900</v>
      </c>
      <c r="H107" s="86" t="s">
        <v>691</v>
      </c>
      <c r="I107" s="52" t="s">
        <v>702</v>
      </c>
      <c r="J107" s="58">
        <v>38718</v>
      </c>
      <c r="K107" s="98" t="s">
        <v>171</v>
      </c>
      <c r="L107" s="44" t="s">
        <v>77</v>
      </c>
      <c r="M107" s="78" t="s">
        <v>172</v>
      </c>
      <c r="N107" s="54" t="s">
        <v>703</v>
      </c>
      <c r="O107" s="55">
        <f>27995.9-O106</f>
        <v>8130.800000000003</v>
      </c>
      <c r="P107" s="56">
        <f>27678-P106</f>
        <v>7828.5</v>
      </c>
      <c r="Q107" s="56">
        <v>9308.4</v>
      </c>
      <c r="R107" s="56">
        <v>9308.4</v>
      </c>
      <c r="S107" s="56">
        <v>9308.4</v>
      </c>
      <c r="T107" s="56">
        <v>9308.4</v>
      </c>
      <c r="U107" s="55">
        <f>27995.9-U106</f>
        <v>8130.800000000003</v>
      </c>
      <c r="V107" s="56">
        <f>27678-V106</f>
        <v>7828.5</v>
      </c>
      <c r="W107" s="56">
        <v>9308.4</v>
      </c>
      <c r="X107" s="56">
        <v>9308.4</v>
      </c>
      <c r="Y107" s="56">
        <v>9308.4</v>
      </c>
      <c r="Z107" s="56">
        <v>9308.4</v>
      </c>
      <c r="AA107" s="55">
        <f>Q107</f>
        <v>9308.4</v>
      </c>
      <c r="AB107" s="56">
        <f>R107</f>
        <v>9308.4</v>
      </c>
      <c r="AC107" s="56">
        <f>S107</f>
        <v>9308.4</v>
      </c>
      <c r="AD107" s="56">
        <f>W107</f>
        <v>9308.4</v>
      </c>
      <c r="AE107" s="56">
        <f>X107</f>
        <v>9308.4</v>
      </c>
      <c r="AF107" s="57">
        <f>Y107</f>
        <v>9308.4</v>
      </c>
      <c r="AG107" s="56" t="s">
        <v>80</v>
      </c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</row>
    <row r="108" spans="1:79" s="221" customFormat="1" ht="117" customHeight="1">
      <c r="A108" s="199"/>
      <c r="B108" s="18" t="s">
        <v>706</v>
      </c>
      <c r="C108" s="95" t="s">
        <v>707</v>
      </c>
      <c r="D108" s="49" t="s">
        <v>708</v>
      </c>
      <c r="E108" s="44" t="s">
        <v>73</v>
      </c>
      <c r="F108" s="52" t="s">
        <v>681</v>
      </c>
      <c r="G108" s="58">
        <v>37900</v>
      </c>
      <c r="H108" s="222" t="s">
        <v>691</v>
      </c>
      <c r="I108" s="52" t="s">
        <v>709</v>
      </c>
      <c r="J108" s="84">
        <v>38718</v>
      </c>
      <c r="K108" s="98"/>
      <c r="L108" s="44"/>
      <c r="M108" s="78"/>
      <c r="N108" s="54" t="s">
        <v>710</v>
      </c>
      <c r="O108" s="55">
        <v>446.5</v>
      </c>
      <c r="P108" s="56">
        <v>321.1</v>
      </c>
      <c r="Q108" s="56">
        <v>471.1</v>
      </c>
      <c r="R108" s="56">
        <v>471.1</v>
      </c>
      <c r="S108" s="56">
        <v>471.1</v>
      </c>
      <c r="T108" s="56">
        <v>471.1</v>
      </c>
      <c r="U108" s="55">
        <v>446.5</v>
      </c>
      <c r="V108" s="56">
        <v>321.1</v>
      </c>
      <c r="W108" s="56">
        <v>471.1</v>
      </c>
      <c r="X108" s="56">
        <v>471.1</v>
      </c>
      <c r="Y108" s="56">
        <v>471.1</v>
      </c>
      <c r="Z108" s="56">
        <v>471.1</v>
      </c>
      <c r="AA108" s="55">
        <f>Q108</f>
        <v>471.1</v>
      </c>
      <c r="AB108" s="56">
        <f>R108</f>
        <v>471.1</v>
      </c>
      <c r="AC108" s="56">
        <f>S108</f>
        <v>471.1</v>
      </c>
      <c r="AD108" s="56">
        <f>W108</f>
        <v>471.1</v>
      </c>
      <c r="AE108" s="56">
        <f>X108</f>
        <v>471.1</v>
      </c>
      <c r="AF108" s="57">
        <f>Y108</f>
        <v>471.1</v>
      </c>
      <c r="AG108" s="56" t="s">
        <v>80</v>
      </c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</row>
    <row r="109" spans="1:56" s="158" customFormat="1" ht="122.25" customHeight="1">
      <c r="A109" s="152"/>
      <c r="B109" s="308" t="s">
        <v>711</v>
      </c>
      <c r="C109" s="319" t="s">
        <v>712</v>
      </c>
      <c r="D109" s="350" t="s">
        <v>713</v>
      </c>
      <c r="E109" s="44" t="s">
        <v>73</v>
      </c>
      <c r="F109" s="52" t="s">
        <v>681</v>
      </c>
      <c r="G109" s="58">
        <v>37900</v>
      </c>
      <c r="H109" s="86" t="s">
        <v>691</v>
      </c>
      <c r="I109" s="52" t="s">
        <v>714</v>
      </c>
      <c r="J109" s="58">
        <v>38718</v>
      </c>
      <c r="K109" s="58" t="s">
        <v>254</v>
      </c>
      <c r="L109" s="58" t="s">
        <v>77</v>
      </c>
      <c r="M109" s="133" t="s">
        <v>205</v>
      </c>
      <c r="N109" s="314" t="s">
        <v>279</v>
      </c>
      <c r="O109" s="315">
        <v>41402.6</v>
      </c>
      <c r="P109" s="316">
        <v>41384.2</v>
      </c>
      <c r="Q109" s="316">
        <v>42767.1</v>
      </c>
      <c r="R109" s="316">
        <v>42767.1</v>
      </c>
      <c r="S109" s="316">
        <v>42767.1</v>
      </c>
      <c r="T109" s="316">
        <v>42767.1</v>
      </c>
      <c r="U109" s="315">
        <v>41402.6</v>
      </c>
      <c r="V109" s="316">
        <v>41384.2</v>
      </c>
      <c r="W109" s="316">
        <v>42767.1</v>
      </c>
      <c r="X109" s="316">
        <v>42767.1</v>
      </c>
      <c r="Y109" s="316">
        <v>42767.1</v>
      </c>
      <c r="Z109" s="316">
        <v>42767.1</v>
      </c>
      <c r="AA109" s="315">
        <f>Q109</f>
        <v>42767.1</v>
      </c>
      <c r="AB109" s="316">
        <f>R109</f>
        <v>42767.1</v>
      </c>
      <c r="AC109" s="316">
        <f>S109</f>
        <v>42767.1</v>
      </c>
      <c r="AD109" s="316">
        <f>W109</f>
        <v>42767.1</v>
      </c>
      <c r="AE109" s="316">
        <f>X109</f>
        <v>42767.1</v>
      </c>
      <c r="AF109" s="317">
        <f>Y109</f>
        <v>42767.1</v>
      </c>
      <c r="AG109" s="316" t="s">
        <v>80</v>
      </c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</row>
    <row r="110" spans="1:56" s="158" customFormat="1" ht="409.5" customHeight="1">
      <c r="A110" s="152"/>
      <c r="B110" s="308"/>
      <c r="C110" s="319"/>
      <c r="D110" s="350"/>
      <c r="E110" s="44" t="s">
        <v>273</v>
      </c>
      <c r="F110" s="52" t="s">
        <v>715</v>
      </c>
      <c r="G110" s="58">
        <v>41275</v>
      </c>
      <c r="H110" s="86" t="s">
        <v>716</v>
      </c>
      <c r="I110" s="86" t="s">
        <v>717</v>
      </c>
      <c r="J110" s="58">
        <v>39083</v>
      </c>
      <c r="K110" s="88" t="s">
        <v>718</v>
      </c>
      <c r="L110" s="58"/>
      <c r="M110" s="133" t="s">
        <v>719</v>
      </c>
      <c r="N110" s="314"/>
      <c r="O110" s="315"/>
      <c r="P110" s="316"/>
      <c r="Q110" s="316"/>
      <c r="R110" s="316"/>
      <c r="S110" s="316"/>
      <c r="T110" s="316"/>
      <c r="U110" s="315"/>
      <c r="V110" s="316"/>
      <c r="W110" s="316"/>
      <c r="X110" s="316"/>
      <c r="Y110" s="316"/>
      <c r="Z110" s="316"/>
      <c r="AA110" s="315"/>
      <c r="AB110" s="316"/>
      <c r="AC110" s="316"/>
      <c r="AD110" s="316"/>
      <c r="AE110" s="316"/>
      <c r="AF110" s="317"/>
      <c r="AG110" s="316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</row>
    <row r="111" spans="1:56" s="158" customFormat="1" ht="126.75" customHeight="1">
      <c r="A111" s="152"/>
      <c r="B111" s="308" t="s">
        <v>720</v>
      </c>
      <c r="C111" s="319" t="s">
        <v>721</v>
      </c>
      <c r="D111" s="350" t="s">
        <v>722</v>
      </c>
      <c r="E111" s="44" t="s">
        <v>73</v>
      </c>
      <c r="F111" s="52" t="s">
        <v>681</v>
      </c>
      <c r="G111" s="58">
        <v>37900</v>
      </c>
      <c r="H111" s="86" t="s">
        <v>691</v>
      </c>
      <c r="I111" s="52" t="s">
        <v>714</v>
      </c>
      <c r="J111" s="58">
        <v>38718</v>
      </c>
      <c r="K111" s="58" t="s">
        <v>254</v>
      </c>
      <c r="L111" s="58" t="s">
        <v>77</v>
      </c>
      <c r="M111" s="133" t="s">
        <v>205</v>
      </c>
      <c r="N111" s="314" t="s">
        <v>723</v>
      </c>
      <c r="O111" s="315">
        <v>8895.1</v>
      </c>
      <c r="P111" s="316">
        <v>8895.1</v>
      </c>
      <c r="Q111" s="316">
        <v>9477.5</v>
      </c>
      <c r="R111" s="316">
        <v>9477.5</v>
      </c>
      <c r="S111" s="316">
        <v>9477.5</v>
      </c>
      <c r="T111" s="316">
        <v>9477.5</v>
      </c>
      <c r="U111" s="315">
        <v>8895.1</v>
      </c>
      <c r="V111" s="316">
        <v>8895.1</v>
      </c>
      <c r="W111" s="316">
        <v>9477.5</v>
      </c>
      <c r="X111" s="316">
        <v>9477.5</v>
      </c>
      <c r="Y111" s="316">
        <v>9477.5</v>
      </c>
      <c r="Z111" s="316">
        <v>9477.5</v>
      </c>
      <c r="AA111" s="315">
        <f>Q111</f>
        <v>9477.5</v>
      </c>
      <c r="AB111" s="316">
        <f>R111</f>
        <v>9477.5</v>
      </c>
      <c r="AC111" s="316">
        <f>S111</f>
        <v>9477.5</v>
      </c>
      <c r="AD111" s="316">
        <f>W111</f>
        <v>9477.5</v>
      </c>
      <c r="AE111" s="316">
        <f>X111</f>
        <v>9477.5</v>
      </c>
      <c r="AF111" s="317">
        <f>Y111</f>
        <v>9477.5</v>
      </c>
      <c r="AG111" s="316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</row>
    <row r="112" spans="1:56" s="229" customFormat="1" ht="298.5" customHeight="1">
      <c r="A112" s="224"/>
      <c r="B112" s="308"/>
      <c r="C112" s="319"/>
      <c r="D112" s="350"/>
      <c r="E112" s="225" t="s">
        <v>273</v>
      </c>
      <c r="F112" s="120" t="s">
        <v>715</v>
      </c>
      <c r="G112" s="162">
        <v>41275</v>
      </c>
      <c r="H112" s="226" t="s">
        <v>716</v>
      </c>
      <c r="I112" s="226" t="s">
        <v>717</v>
      </c>
      <c r="J112" s="162">
        <v>39083</v>
      </c>
      <c r="K112" s="227" t="s">
        <v>724</v>
      </c>
      <c r="L112" s="162"/>
      <c r="M112" s="228" t="s">
        <v>725</v>
      </c>
      <c r="N112" s="314"/>
      <c r="O112" s="315"/>
      <c r="P112" s="316"/>
      <c r="Q112" s="316"/>
      <c r="R112" s="316"/>
      <c r="S112" s="316"/>
      <c r="T112" s="316"/>
      <c r="U112" s="315"/>
      <c r="V112" s="316"/>
      <c r="W112" s="316"/>
      <c r="X112" s="316"/>
      <c r="Y112" s="316"/>
      <c r="Z112" s="316"/>
      <c r="AA112" s="315"/>
      <c r="AB112" s="316"/>
      <c r="AC112" s="316"/>
      <c r="AD112" s="316"/>
      <c r="AE112" s="316"/>
      <c r="AF112" s="317"/>
      <c r="AG112" s="316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</row>
    <row r="113" spans="1:79" s="132" customFormat="1" ht="118.5" customHeight="1">
      <c r="A113" s="43"/>
      <c r="B113" s="49" t="s">
        <v>726</v>
      </c>
      <c r="C113" s="50" t="s">
        <v>727</v>
      </c>
      <c r="D113" s="223" t="s">
        <v>728</v>
      </c>
      <c r="E113" s="44" t="s">
        <v>73</v>
      </c>
      <c r="F113" s="52" t="s">
        <v>681</v>
      </c>
      <c r="G113" s="58">
        <v>37900</v>
      </c>
      <c r="H113" s="86" t="s">
        <v>691</v>
      </c>
      <c r="I113" s="52" t="s">
        <v>729</v>
      </c>
      <c r="J113" s="58"/>
      <c r="K113" s="98" t="s">
        <v>171</v>
      </c>
      <c r="L113" s="44" t="s">
        <v>77</v>
      </c>
      <c r="M113" s="78" t="s">
        <v>172</v>
      </c>
      <c r="N113" s="54" t="s">
        <v>730</v>
      </c>
      <c r="O113" s="55">
        <v>73660.4</v>
      </c>
      <c r="P113" s="56">
        <v>73660.4</v>
      </c>
      <c r="Q113" s="56">
        <v>78507</v>
      </c>
      <c r="R113" s="56">
        <v>78507</v>
      </c>
      <c r="S113" s="56">
        <v>78507</v>
      </c>
      <c r="T113" s="56">
        <v>78507</v>
      </c>
      <c r="U113" s="55">
        <v>73660.4</v>
      </c>
      <c r="V113" s="56">
        <v>73660.4</v>
      </c>
      <c r="W113" s="56">
        <v>78507</v>
      </c>
      <c r="X113" s="56">
        <v>78507</v>
      </c>
      <c r="Y113" s="56">
        <v>78507</v>
      </c>
      <c r="Z113" s="56">
        <v>78507</v>
      </c>
      <c r="AA113" s="55">
        <f aca="true" t="shared" si="41" ref="AA113:AA124">Q113</f>
        <v>78507</v>
      </c>
      <c r="AB113" s="56">
        <f aca="true" t="shared" si="42" ref="AB113:AB124">R113</f>
        <v>78507</v>
      </c>
      <c r="AC113" s="56">
        <f aca="true" t="shared" si="43" ref="AC113:AC124">S113</f>
        <v>78507</v>
      </c>
      <c r="AD113" s="56">
        <f aca="true" t="shared" si="44" ref="AD113:AD124">W113</f>
        <v>78507</v>
      </c>
      <c r="AE113" s="56">
        <f aca="true" t="shared" si="45" ref="AE113:AE124">X113</f>
        <v>78507</v>
      </c>
      <c r="AF113" s="57">
        <f aca="true" t="shared" si="46" ref="AF113:AF124">Y113</f>
        <v>78507</v>
      </c>
      <c r="AG113" s="56" t="s">
        <v>80</v>
      </c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</row>
    <row r="114" spans="1:79" s="221" customFormat="1" ht="174" customHeight="1">
      <c r="A114" s="199"/>
      <c r="B114" s="49" t="s">
        <v>731</v>
      </c>
      <c r="C114" s="50" t="s">
        <v>732</v>
      </c>
      <c r="D114" s="51">
        <v>3236</v>
      </c>
      <c r="E114" s="44" t="s">
        <v>73</v>
      </c>
      <c r="F114" s="52" t="s">
        <v>681</v>
      </c>
      <c r="G114" s="58">
        <v>37900</v>
      </c>
      <c r="H114" s="86" t="s">
        <v>691</v>
      </c>
      <c r="I114" s="52" t="s">
        <v>733</v>
      </c>
      <c r="J114" s="58">
        <v>38718</v>
      </c>
      <c r="K114" s="98" t="s">
        <v>171</v>
      </c>
      <c r="L114" s="44" t="s">
        <v>77</v>
      </c>
      <c r="M114" s="78" t="s">
        <v>172</v>
      </c>
      <c r="N114" s="54" t="s">
        <v>734</v>
      </c>
      <c r="O114" s="55">
        <f aca="true" t="shared" si="47" ref="O114:Z114">SUM(O119:O130)</f>
        <v>589122.4</v>
      </c>
      <c r="P114" s="56">
        <f t="shared" si="47"/>
        <v>584846.9</v>
      </c>
      <c r="Q114" s="56">
        <f t="shared" si="47"/>
        <v>542135.4</v>
      </c>
      <c r="R114" s="56">
        <f t="shared" si="47"/>
        <v>507672.99999999994</v>
      </c>
      <c r="S114" s="56">
        <f t="shared" si="47"/>
        <v>476248.39999999997</v>
      </c>
      <c r="T114" s="56">
        <f t="shared" si="47"/>
        <v>476248.39999999997</v>
      </c>
      <c r="U114" s="55">
        <f t="shared" si="47"/>
        <v>589122.4</v>
      </c>
      <c r="V114" s="56">
        <f t="shared" si="47"/>
        <v>584846.9</v>
      </c>
      <c r="W114" s="56">
        <f t="shared" si="47"/>
        <v>542135.4</v>
      </c>
      <c r="X114" s="56">
        <f t="shared" si="47"/>
        <v>507672.99999999994</v>
      </c>
      <c r="Y114" s="56">
        <f t="shared" si="47"/>
        <v>476248.39999999997</v>
      </c>
      <c r="Z114" s="56">
        <f t="shared" si="47"/>
        <v>476248.39999999997</v>
      </c>
      <c r="AA114" s="55">
        <f t="shared" si="41"/>
        <v>542135.4</v>
      </c>
      <c r="AB114" s="56">
        <f t="shared" si="42"/>
        <v>507672.99999999994</v>
      </c>
      <c r="AC114" s="56">
        <f t="shared" si="43"/>
        <v>476248.39999999997</v>
      </c>
      <c r="AD114" s="56">
        <f t="shared" si="44"/>
        <v>542135.4</v>
      </c>
      <c r="AE114" s="56">
        <f t="shared" si="45"/>
        <v>507672.99999999994</v>
      </c>
      <c r="AF114" s="57">
        <f t="shared" si="46"/>
        <v>476248.39999999997</v>
      </c>
      <c r="AG114" s="56" t="s">
        <v>80</v>
      </c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</row>
    <row r="115" spans="1:79" s="210" customFormat="1" ht="91.5" customHeight="1">
      <c r="A115" s="201"/>
      <c r="B115" s="60"/>
      <c r="C115" s="61"/>
      <c r="D115" s="60"/>
      <c r="E115" s="62" t="s">
        <v>735</v>
      </c>
      <c r="F115" s="63" t="s">
        <v>736</v>
      </c>
      <c r="G115" s="64"/>
      <c r="H115" s="91"/>
      <c r="I115" s="63"/>
      <c r="J115" s="64"/>
      <c r="K115" s="64"/>
      <c r="L115" s="64"/>
      <c r="M115" s="102"/>
      <c r="N115" s="81" t="s">
        <v>176</v>
      </c>
      <c r="O115" s="67">
        <f aca="true" t="shared" si="48" ref="O115:Z115">O126</f>
        <v>92802.1</v>
      </c>
      <c r="P115" s="68">
        <f t="shared" si="48"/>
        <v>92656.1</v>
      </c>
      <c r="Q115" s="68">
        <f t="shared" si="48"/>
        <v>77264.4</v>
      </c>
      <c r="R115" s="68">
        <f t="shared" si="48"/>
        <v>36789</v>
      </c>
      <c r="S115" s="68">
        <f t="shared" si="48"/>
        <v>5786.4</v>
      </c>
      <c r="T115" s="68">
        <f t="shared" si="48"/>
        <v>5786.4</v>
      </c>
      <c r="U115" s="67">
        <f t="shared" si="48"/>
        <v>92802.1</v>
      </c>
      <c r="V115" s="68">
        <f t="shared" si="48"/>
        <v>92656.1</v>
      </c>
      <c r="W115" s="68">
        <f t="shared" si="48"/>
        <v>77264.4</v>
      </c>
      <c r="X115" s="68">
        <f t="shared" si="48"/>
        <v>36789</v>
      </c>
      <c r="Y115" s="68">
        <f t="shared" si="48"/>
        <v>5786.4</v>
      </c>
      <c r="Z115" s="68">
        <f t="shared" si="48"/>
        <v>5786.4</v>
      </c>
      <c r="AA115" s="69">
        <f t="shared" si="41"/>
        <v>77264.4</v>
      </c>
      <c r="AB115" s="70">
        <f t="shared" si="42"/>
        <v>36789</v>
      </c>
      <c r="AC115" s="70">
        <f t="shared" si="43"/>
        <v>5786.4</v>
      </c>
      <c r="AD115" s="70">
        <f t="shared" si="44"/>
        <v>77264.4</v>
      </c>
      <c r="AE115" s="70">
        <f t="shared" si="45"/>
        <v>36789</v>
      </c>
      <c r="AF115" s="71">
        <f t="shared" si="46"/>
        <v>5786.4</v>
      </c>
      <c r="AG115" s="6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  <c r="CA115" s="209"/>
    </row>
    <row r="116" spans="1:79" s="74" customFormat="1" ht="120.75" customHeight="1">
      <c r="A116" s="59"/>
      <c r="B116" s="79"/>
      <c r="C116" s="80"/>
      <c r="D116" s="79"/>
      <c r="E116" s="62" t="s">
        <v>737</v>
      </c>
      <c r="F116" s="63" t="s">
        <v>738</v>
      </c>
      <c r="G116" s="63"/>
      <c r="H116" s="63"/>
      <c r="I116" s="63"/>
      <c r="J116" s="63"/>
      <c r="K116" s="63"/>
      <c r="L116" s="63"/>
      <c r="M116" s="65"/>
      <c r="N116" s="81" t="s">
        <v>175</v>
      </c>
      <c r="O116" s="67">
        <f aca="true" t="shared" si="49" ref="O116:Z116">O128</f>
        <v>2156</v>
      </c>
      <c r="P116" s="68">
        <f t="shared" si="49"/>
        <v>2156</v>
      </c>
      <c r="Q116" s="68">
        <f t="shared" si="49"/>
        <v>2128.7</v>
      </c>
      <c r="R116" s="68">
        <f t="shared" si="49"/>
        <v>2470.1</v>
      </c>
      <c r="S116" s="68">
        <f t="shared" si="49"/>
        <v>3018.6</v>
      </c>
      <c r="T116" s="68">
        <f t="shared" si="49"/>
        <v>3018.6</v>
      </c>
      <c r="U116" s="67">
        <f t="shared" si="49"/>
        <v>2156</v>
      </c>
      <c r="V116" s="68">
        <f t="shared" si="49"/>
        <v>2156</v>
      </c>
      <c r="W116" s="68">
        <f t="shared" si="49"/>
        <v>2128.7</v>
      </c>
      <c r="X116" s="68">
        <f t="shared" si="49"/>
        <v>2470.1</v>
      </c>
      <c r="Y116" s="68">
        <f t="shared" si="49"/>
        <v>3018.6</v>
      </c>
      <c r="Z116" s="68">
        <f t="shared" si="49"/>
        <v>3018.6</v>
      </c>
      <c r="AA116" s="69">
        <f t="shared" si="41"/>
        <v>2128.7</v>
      </c>
      <c r="AB116" s="70">
        <f t="shared" si="42"/>
        <v>2470.1</v>
      </c>
      <c r="AC116" s="70">
        <f t="shared" si="43"/>
        <v>3018.6</v>
      </c>
      <c r="AD116" s="70">
        <f t="shared" si="44"/>
        <v>2128.7</v>
      </c>
      <c r="AE116" s="70">
        <f t="shared" si="45"/>
        <v>2470.1</v>
      </c>
      <c r="AF116" s="71">
        <f t="shared" si="46"/>
        <v>3018.6</v>
      </c>
      <c r="AG116" s="68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</row>
    <row r="117" spans="1:79" s="210" customFormat="1" ht="108" customHeight="1">
      <c r="A117" s="201"/>
      <c r="B117" s="60"/>
      <c r="C117" s="61"/>
      <c r="D117" s="60"/>
      <c r="E117" s="62" t="s">
        <v>739</v>
      </c>
      <c r="F117" s="63"/>
      <c r="G117" s="64"/>
      <c r="H117" s="91"/>
      <c r="I117" s="63"/>
      <c r="J117" s="64"/>
      <c r="K117" s="64"/>
      <c r="L117" s="64"/>
      <c r="M117" s="102"/>
      <c r="N117" s="81" t="s">
        <v>176</v>
      </c>
      <c r="O117" s="67">
        <f aca="true" t="shared" si="50" ref="O117:Z117">O126</f>
        <v>92802.1</v>
      </c>
      <c r="P117" s="68">
        <f t="shared" si="50"/>
        <v>92656.1</v>
      </c>
      <c r="Q117" s="68">
        <f t="shared" si="50"/>
        <v>77264.4</v>
      </c>
      <c r="R117" s="68">
        <f t="shared" si="50"/>
        <v>36789</v>
      </c>
      <c r="S117" s="68">
        <f t="shared" si="50"/>
        <v>5786.4</v>
      </c>
      <c r="T117" s="68">
        <f t="shared" si="50"/>
        <v>5786.4</v>
      </c>
      <c r="U117" s="67">
        <f t="shared" si="50"/>
        <v>92802.1</v>
      </c>
      <c r="V117" s="68">
        <f t="shared" si="50"/>
        <v>92656.1</v>
      </c>
      <c r="W117" s="68">
        <f t="shared" si="50"/>
        <v>77264.4</v>
      </c>
      <c r="X117" s="68">
        <f t="shared" si="50"/>
        <v>36789</v>
      </c>
      <c r="Y117" s="68">
        <f t="shared" si="50"/>
        <v>5786.4</v>
      </c>
      <c r="Z117" s="68">
        <f t="shared" si="50"/>
        <v>5786.4</v>
      </c>
      <c r="AA117" s="69">
        <f t="shared" si="41"/>
        <v>77264.4</v>
      </c>
      <c r="AB117" s="70">
        <f t="shared" si="42"/>
        <v>36789</v>
      </c>
      <c r="AC117" s="70">
        <f t="shared" si="43"/>
        <v>5786.4</v>
      </c>
      <c r="AD117" s="70">
        <f t="shared" si="44"/>
        <v>77264.4</v>
      </c>
      <c r="AE117" s="70">
        <f t="shared" si="45"/>
        <v>36789</v>
      </c>
      <c r="AF117" s="71">
        <f t="shared" si="46"/>
        <v>5786.4</v>
      </c>
      <c r="AG117" s="6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  <c r="CA117" s="209"/>
    </row>
    <row r="118" spans="1:79" s="74" customFormat="1" ht="150" customHeight="1">
      <c r="A118" s="59"/>
      <c r="B118" s="60"/>
      <c r="C118" s="61"/>
      <c r="D118" s="60"/>
      <c r="E118" s="62" t="s">
        <v>121</v>
      </c>
      <c r="F118" s="63"/>
      <c r="G118" s="64"/>
      <c r="H118" s="63"/>
      <c r="I118" s="63"/>
      <c r="J118" s="63"/>
      <c r="K118" s="63"/>
      <c r="L118" s="63"/>
      <c r="M118" s="65"/>
      <c r="N118" s="81" t="s">
        <v>175</v>
      </c>
      <c r="O118" s="67">
        <f aca="true" t="shared" si="51" ref="O118:Z118">O128</f>
        <v>2156</v>
      </c>
      <c r="P118" s="68">
        <f t="shared" si="51"/>
        <v>2156</v>
      </c>
      <c r="Q118" s="68">
        <f t="shared" si="51"/>
        <v>2128.7</v>
      </c>
      <c r="R118" s="68">
        <f t="shared" si="51"/>
        <v>2470.1</v>
      </c>
      <c r="S118" s="68">
        <f t="shared" si="51"/>
        <v>3018.6</v>
      </c>
      <c r="T118" s="68">
        <f t="shared" si="51"/>
        <v>3018.6</v>
      </c>
      <c r="U118" s="67">
        <f t="shared" si="51"/>
        <v>2156</v>
      </c>
      <c r="V118" s="68">
        <f t="shared" si="51"/>
        <v>2156</v>
      </c>
      <c r="W118" s="68">
        <f t="shared" si="51"/>
        <v>2128.7</v>
      </c>
      <c r="X118" s="68">
        <f t="shared" si="51"/>
        <v>2470.1</v>
      </c>
      <c r="Y118" s="68">
        <f t="shared" si="51"/>
        <v>3018.6</v>
      </c>
      <c r="Z118" s="68">
        <f t="shared" si="51"/>
        <v>3018.6</v>
      </c>
      <c r="AA118" s="69">
        <f t="shared" si="41"/>
        <v>2128.7</v>
      </c>
      <c r="AB118" s="70">
        <f t="shared" si="42"/>
        <v>2470.1</v>
      </c>
      <c r="AC118" s="70">
        <f t="shared" si="43"/>
        <v>3018.6</v>
      </c>
      <c r="AD118" s="70">
        <f t="shared" si="44"/>
        <v>2128.7</v>
      </c>
      <c r="AE118" s="70">
        <f t="shared" si="45"/>
        <v>2470.1</v>
      </c>
      <c r="AF118" s="71">
        <f t="shared" si="46"/>
        <v>3018.6</v>
      </c>
      <c r="AG118" s="68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</row>
    <row r="119" spans="1:79" s="200" customFormat="1" ht="38.25">
      <c r="A119" s="199"/>
      <c r="B119" s="174"/>
      <c r="C119" s="189" t="s">
        <v>740</v>
      </c>
      <c r="D119" s="153"/>
      <c r="E119" s="187"/>
      <c r="F119" s="153"/>
      <c r="G119" s="154"/>
      <c r="H119" s="177"/>
      <c r="I119" s="153" t="s">
        <v>741</v>
      </c>
      <c r="J119" s="154"/>
      <c r="K119" s="154"/>
      <c r="L119" s="154"/>
      <c r="M119" s="191"/>
      <c r="N119" s="179">
        <v>1003</v>
      </c>
      <c r="O119" s="180">
        <v>22117</v>
      </c>
      <c r="P119" s="123">
        <v>20610.8</v>
      </c>
      <c r="Q119" s="123">
        <v>18090.8</v>
      </c>
      <c r="R119" s="123">
        <v>18090.8</v>
      </c>
      <c r="S119" s="123">
        <v>18090.8</v>
      </c>
      <c r="T119" s="123">
        <v>18090.8</v>
      </c>
      <c r="U119" s="180">
        <v>22117</v>
      </c>
      <c r="V119" s="123">
        <v>20610.8</v>
      </c>
      <c r="W119" s="123">
        <v>18090.8</v>
      </c>
      <c r="X119" s="123">
        <v>18090.8</v>
      </c>
      <c r="Y119" s="123">
        <v>18090.8</v>
      </c>
      <c r="Z119" s="123">
        <v>18090.8</v>
      </c>
      <c r="AA119" s="55">
        <f t="shared" si="41"/>
        <v>18090.8</v>
      </c>
      <c r="AB119" s="56">
        <f t="shared" si="42"/>
        <v>18090.8</v>
      </c>
      <c r="AC119" s="56">
        <f t="shared" si="43"/>
        <v>18090.8</v>
      </c>
      <c r="AD119" s="56">
        <f t="shared" si="44"/>
        <v>18090.8</v>
      </c>
      <c r="AE119" s="56">
        <f t="shared" si="45"/>
        <v>18090.8</v>
      </c>
      <c r="AF119" s="57">
        <f t="shared" si="46"/>
        <v>18090.8</v>
      </c>
      <c r="AG119" s="123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</row>
    <row r="120" spans="1:79" s="200" customFormat="1" ht="25.5">
      <c r="A120" s="199"/>
      <c r="B120" s="174"/>
      <c r="C120" s="230" t="s">
        <v>742</v>
      </c>
      <c r="D120" s="153"/>
      <c r="E120" s="231"/>
      <c r="F120" s="232"/>
      <c r="G120" s="232"/>
      <c r="H120" s="177"/>
      <c r="I120" s="153" t="s">
        <v>743</v>
      </c>
      <c r="J120" s="154"/>
      <c r="K120" s="154"/>
      <c r="L120" s="154"/>
      <c r="M120" s="191"/>
      <c r="N120" s="179">
        <v>1004</v>
      </c>
      <c r="O120" s="180">
        <v>17892.8</v>
      </c>
      <c r="P120" s="123">
        <v>17412.4</v>
      </c>
      <c r="Q120" s="123">
        <v>11807.1</v>
      </c>
      <c r="R120" s="123">
        <v>11807.1</v>
      </c>
      <c r="S120" s="123">
        <v>11807.1</v>
      </c>
      <c r="T120" s="123">
        <v>11807.1</v>
      </c>
      <c r="U120" s="180">
        <v>17892.8</v>
      </c>
      <c r="V120" s="123">
        <v>17412.4</v>
      </c>
      <c r="W120" s="123">
        <v>11807.1</v>
      </c>
      <c r="X120" s="123">
        <v>11807.1</v>
      </c>
      <c r="Y120" s="123">
        <v>11807.1</v>
      </c>
      <c r="Z120" s="123">
        <v>11807.1</v>
      </c>
      <c r="AA120" s="55">
        <f t="shared" si="41"/>
        <v>11807.1</v>
      </c>
      <c r="AB120" s="56">
        <f t="shared" si="42"/>
        <v>11807.1</v>
      </c>
      <c r="AC120" s="56">
        <f t="shared" si="43"/>
        <v>11807.1</v>
      </c>
      <c r="AD120" s="56">
        <f t="shared" si="44"/>
        <v>11807.1</v>
      </c>
      <c r="AE120" s="56">
        <f t="shared" si="45"/>
        <v>11807.1</v>
      </c>
      <c r="AF120" s="57">
        <f t="shared" si="46"/>
        <v>11807.1</v>
      </c>
      <c r="AG120" s="123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</row>
    <row r="121" spans="1:79" s="200" customFormat="1" ht="38.25">
      <c r="A121" s="199"/>
      <c r="B121" s="174"/>
      <c r="C121" s="230" t="s">
        <v>744</v>
      </c>
      <c r="D121" s="153"/>
      <c r="E121" s="231"/>
      <c r="F121" s="232"/>
      <c r="G121" s="232"/>
      <c r="H121" s="177"/>
      <c r="I121" s="153" t="s">
        <v>743</v>
      </c>
      <c r="J121" s="154"/>
      <c r="K121" s="154"/>
      <c r="L121" s="154"/>
      <c r="M121" s="191"/>
      <c r="N121" s="179">
        <v>1004</v>
      </c>
      <c r="O121" s="180">
        <v>51865.1</v>
      </c>
      <c r="P121" s="123">
        <v>51863</v>
      </c>
      <c r="Q121" s="123">
        <v>44347.8</v>
      </c>
      <c r="R121" s="123">
        <v>44347.8</v>
      </c>
      <c r="S121" s="123">
        <v>44347.8</v>
      </c>
      <c r="T121" s="123">
        <v>44347.8</v>
      </c>
      <c r="U121" s="180">
        <v>51865.1</v>
      </c>
      <c r="V121" s="123">
        <v>51863</v>
      </c>
      <c r="W121" s="123">
        <v>44347.8</v>
      </c>
      <c r="X121" s="123">
        <v>44347.8</v>
      </c>
      <c r="Y121" s="123">
        <v>44347.8</v>
      </c>
      <c r="Z121" s="123">
        <v>44347.8</v>
      </c>
      <c r="AA121" s="55">
        <f t="shared" si="41"/>
        <v>44347.8</v>
      </c>
      <c r="AB121" s="56">
        <f t="shared" si="42"/>
        <v>44347.8</v>
      </c>
      <c r="AC121" s="56">
        <f t="shared" si="43"/>
        <v>44347.8</v>
      </c>
      <c r="AD121" s="56">
        <f t="shared" si="44"/>
        <v>44347.8</v>
      </c>
      <c r="AE121" s="56">
        <f t="shared" si="45"/>
        <v>44347.8</v>
      </c>
      <c r="AF121" s="57">
        <f t="shared" si="46"/>
        <v>44347.8</v>
      </c>
      <c r="AG121" s="123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</row>
    <row r="122" spans="1:79" s="200" customFormat="1" ht="38.25">
      <c r="A122" s="199"/>
      <c r="B122" s="174"/>
      <c r="C122" s="189" t="s">
        <v>745</v>
      </c>
      <c r="D122" s="153"/>
      <c r="E122" s="233"/>
      <c r="F122" s="232"/>
      <c r="G122" s="232"/>
      <c r="H122" s="177"/>
      <c r="I122" s="153" t="s">
        <v>746</v>
      </c>
      <c r="J122" s="154"/>
      <c r="K122" s="154"/>
      <c r="L122" s="154"/>
      <c r="M122" s="191"/>
      <c r="N122" s="179" t="s">
        <v>747</v>
      </c>
      <c r="O122" s="180">
        <v>635.1</v>
      </c>
      <c r="P122" s="123">
        <v>585.6</v>
      </c>
      <c r="Q122" s="123">
        <v>434.2</v>
      </c>
      <c r="R122" s="123">
        <v>434.2</v>
      </c>
      <c r="S122" s="123">
        <v>434.2</v>
      </c>
      <c r="T122" s="123">
        <v>434.2</v>
      </c>
      <c r="U122" s="180">
        <v>635.1</v>
      </c>
      <c r="V122" s="123">
        <v>585.6</v>
      </c>
      <c r="W122" s="123">
        <v>434.2</v>
      </c>
      <c r="X122" s="123">
        <v>434.2</v>
      </c>
      <c r="Y122" s="123">
        <v>434.2</v>
      </c>
      <c r="Z122" s="123">
        <v>434.2</v>
      </c>
      <c r="AA122" s="55">
        <f t="shared" si="41"/>
        <v>434.2</v>
      </c>
      <c r="AB122" s="56">
        <f t="shared" si="42"/>
        <v>434.2</v>
      </c>
      <c r="AC122" s="56">
        <f t="shared" si="43"/>
        <v>434.2</v>
      </c>
      <c r="AD122" s="56">
        <f t="shared" si="44"/>
        <v>434.2</v>
      </c>
      <c r="AE122" s="56">
        <f t="shared" si="45"/>
        <v>434.2</v>
      </c>
      <c r="AF122" s="57">
        <f t="shared" si="46"/>
        <v>434.2</v>
      </c>
      <c r="AG122" s="123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</row>
    <row r="123" spans="1:79" s="221" customFormat="1" ht="42.75" customHeight="1">
      <c r="A123" s="199"/>
      <c r="B123" s="174"/>
      <c r="C123" s="189" t="s">
        <v>748</v>
      </c>
      <c r="D123" s="153"/>
      <c r="E123" s="233"/>
      <c r="F123" s="232"/>
      <c r="G123" s="232"/>
      <c r="H123" s="177"/>
      <c r="I123" s="153"/>
      <c r="J123" s="154"/>
      <c r="K123" s="154"/>
      <c r="L123" s="154"/>
      <c r="M123" s="191"/>
      <c r="N123" s="179" t="s">
        <v>747</v>
      </c>
      <c r="O123" s="180">
        <v>24567.8</v>
      </c>
      <c r="P123" s="123">
        <v>24567.8</v>
      </c>
      <c r="Q123" s="123">
        <v>34060.6</v>
      </c>
      <c r="R123" s="123">
        <v>39857.2</v>
      </c>
      <c r="S123" s="123">
        <v>38886.7</v>
      </c>
      <c r="T123" s="123">
        <v>38886.7</v>
      </c>
      <c r="U123" s="180">
        <v>24567.8</v>
      </c>
      <c r="V123" s="123">
        <v>24567.8</v>
      </c>
      <c r="W123" s="123">
        <v>34060.6</v>
      </c>
      <c r="X123" s="123">
        <v>39857.2</v>
      </c>
      <c r="Y123" s="123">
        <v>38886.7</v>
      </c>
      <c r="Z123" s="123">
        <v>38886.7</v>
      </c>
      <c r="AA123" s="55">
        <f t="shared" si="41"/>
        <v>34060.6</v>
      </c>
      <c r="AB123" s="56">
        <f t="shared" si="42"/>
        <v>39857.2</v>
      </c>
      <c r="AC123" s="56">
        <f t="shared" si="43"/>
        <v>38886.7</v>
      </c>
      <c r="AD123" s="56">
        <f t="shared" si="44"/>
        <v>34060.6</v>
      </c>
      <c r="AE123" s="56">
        <f t="shared" si="45"/>
        <v>39857.2</v>
      </c>
      <c r="AF123" s="57">
        <f t="shared" si="46"/>
        <v>38886.7</v>
      </c>
      <c r="AG123" s="123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</row>
    <row r="124" spans="1:79" s="221" customFormat="1" ht="51">
      <c r="A124" s="199"/>
      <c r="B124" s="174"/>
      <c r="C124" s="189" t="s">
        <v>749</v>
      </c>
      <c r="D124" s="153"/>
      <c r="E124" s="187"/>
      <c r="F124" s="153"/>
      <c r="G124" s="154"/>
      <c r="H124" s="177"/>
      <c r="I124" s="153" t="s">
        <v>750</v>
      </c>
      <c r="J124" s="154"/>
      <c r="K124" s="154"/>
      <c r="L124" s="154"/>
      <c r="M124" s="191"/>
      <c r="N124" s="179">
        <v>1003</v>
      </c>
      <c r="O124" s="180">
        <v>281049.9</v>
      </c>
      <c r="P124" s="123">
        <v>279275.7</v>
      </c>
      <c r="Q124" s="123">
        <v>328030.6</v>
      </c>
      <c r="R124" s="123">
        <v>328030.6</v>
      </c>
      <c r="S124" s="123">
        <v>328030.6</v>
      </c>
      <c r="T124" s="123">
        <v>328030.6</v>
      </c>
      <c r="U124" s="180">
        <v>281049.9</v>
      </c>
      <c r="V124" s="123">
        <v>279275.7</v>
      </c>
      <c r="W124" s="123">
        <v>328030.6</v>
      </c>
      <c r="X124" s="123">
        <v>328030.6</v>
      </c>
      <c r="Y124" s="123">
        <v>328030.6</v>
      </c>
      <c r="Z124" s="123">
        <v>328030.6</v>
      </c>
      <c r="AA124" s="55">
        <f t="shared" si="41"/>
        <v>328030.6</v>
      </c>
      <c r="AB124" s="56">
        <f t="shared" si="42"/>
        <v>328030.6</v>
      </c>
      <c r="AC124" s="56">
        <f t="shared" si="43"/>
        <v>328030.6</v>
      </c>
      <c r="AD124" s="56">
        <f t="shared" si="44"/>
        <v>328030.6</v>
      </c>
      <c r="AE124" s="56">
        <f t="shared" si="45"/>
        <v>328030.6</v>
      </c>
      <c r="AF124" s="57">
        <f t="shared" si="46"/>
        <v>328030.6</v>
      </c>
      <c r="AG124" s="123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</row>
    <row r="125" spans="1:79" s="221" customFormat="1" ht="38.25">
      <c r="A125" s="199"/>
      <c r="B125" s="174"/>
      <c r="C125" s="234" t="s">
        <v>751</v>
      </c>
      <c r="D125" s="153"/>
      <c r="E125" s="233"/>
      <c r="F125" s="235"/>
      <c r="G125" s="235"/>
      <c r="H125" s="177"/>
      <c r="I125" s="153" t="s">
        <v>752</v>
      </c>
      <c r="J125" s="154"/>
      <c r="K125" s="154"/>
      <c r="L125" s="154"/>
      <c r="M125" s="191"/>
      <c r="N125" s="179">
        <v>1003</v>
      </c>
      <c r="O125" s="180">
        <v>51.2</v>
      </c>
      <c r="P125" s="123"/>
      <c r="Q125" s="123"/>
      <c r="R125" s="123"/>
      <c r="S125" s="123"/>
      <c r="T125" s="123"/>
      <c r="U125" s="180">
        <v>51.2</v>
      </c>
      <c r="V125" s="123"/>
      <c r="W125" s="123"/>
      <c r="X125" s="123"/>
      <c r="Y125" s="123"/>
      <c r="Z125" s="123"/>
      <c r="AA125" s="55"/>
      <c r="AB125" s="56"/>
      <c r="AC125" s="56"/>
      <c r="AD125" s="56"/>
      <c r="AE125" s="56"/>
      <c r="AF125" s="57"/>
      <c r="AG125" s="123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</row>
    <row r="126" spans="1:79" s="221" customFormat="1" ht="51">
      <c r="A126" s="199"/>
      <c r="B126" s="174"/>
      <c r="C126" s="189" t="s">
        <v>753</v>
      </c>
      <c r="D126" s="153"/>
      <c r="E126" s="233"/>
      <c r="F126" s="235"/>
      <c r="G126" s="235"/>
      <c r="H126" s="177"/>
      <c r="I126" s="153" t="s">
        <v>754</v>
      </c>
      <c r="J126" s="154"/>
      <c r="K126" s="154"/>
      <c r="L126" s="154"/>
      <c r="M126" s="191"/>
      <c r="N126" s="179">
        <v>1004</v>
      </c>
      <c r="O126" s="180">
        <f>89442+3360.1</f>
        <v>92802.1</v>
      </c>
      <c r="P126" s="123">
        <f>89296+3360.1</f>
        <v>92656.1</v>
      </c>
      <c r="Q126" s="236">
        <v>77264.4</v>
      </c>
      <c r="R126" s="236">
        <v>36789</v>
      </c>
      <c r="S126" s="236">
        <v>5786.4</v>
      </c>
      <c r="T126" s="236">
        <v>5786.4</v>
      </c>
      <c r="U126" s="180">
        <f>89442+3360.1</f>
        <v>92802.1</v>
      </c>
      <c r="V126" s="123">
        <f>89296+3360.1</f>
        <v>92656.1</v>
      </c>
      <c r="W126" s="236">
        <v>77264.4</v>
      </c>
      <c r="X126" s="236">
        <v>36789</v>
      </c>
      <c r="Y126" s="236">
        <v>5786.4</v>
      </c>
      <c r="Z126" s="236">
        <v>5786.4</v>
      </c>
      <c r="AA126" s="55">
        <f>Q126</f>
        <v>77264.4</v>
      </c>
      <c r="AB126" s="56">
        <f>R126</f>
        <v>36789</v>
      </c>
      <c r="AC126" s="56">
        <f>S126</f>
        <v>5786.4</v>
      </c>
      <c r="AD126" s="56">
        <f>W126</f>
        <v>77264.4</v>
      </c>
      <c r="AE126" s="56">
        <f>X126</f>
        <v>36789</v>
      </c>
      <c r="AF126" s="57">
        <f>Y126</f>
        <v>5786.4</v>
      </c>
      <c r="AG126" s="123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</row>
    <row r="127" spans="1:79" s="221" customFormat="1" ht="27.75" customHeight="1">
      <c r="A127" s="199"/>
      <c r="B127" s="174"/>
      <c r="C127" s="189" t="s">
        <v>755</v>
      </c>
      <c r="D127" s="153"/>
      <c r="E127" s="233"/>
      <c r="F127" s="235"/>
      <c r="G127" s="235"/>
      <c r="H127" s="177"/>
      <c r="I127" s="153"/>
      <c r="J127" s="154"/>
      <c r="K127" s="154"/>
      <c r="L127" s="154"/>
      <c r="M127" s="191"/>
      <c r="N127" s="179">
        <v>1004</v>
      </c>
      <c r="O127" s="180">
        <v>95985.4</v>
      </c>
      <c r="P127" s="123">
        <v>95719.5</v>
      </c>
      <c r="Q127" s="236"/>
      <c r="R127" s="236"/>
      <c r="S127" s="236"/>
      <c r="T127" s="236"/>
      <c r="U127" s="180">
        <v>95985.4</v>
      </c>
      <c r="V127" s="123">
        <v>95719.5</v>
      </c>
      <c r="W127" s="236"/>
      <c r="X127" s="236"/>
      <c r="Y127" s="236"/>
      <c r="Z127" s="236"/>
      <c r="AA127" s="55"/>
      <c r="AB127" s="56"/>
      <c r="AC127" s="56"/>
      <c r="AD127" s="56"/>
      <c r="AE127" s="56"/>
      <c r="AF127" s="57"/>
      <c r="AG127" s="123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</row>
    <row r="128" spans="1:79" s="132" customFormat="1" ht="87" customHeight="1">
      <c r="A128" s="43"/>
      <c r="B128" s="174"/>
      <c r="C128" s="189" t="s">
        <v>756</v>
      </c>
      <c r="D128" s="183"/>
      <c r="E128" s="98" t="s">
        <v>427</v>
      </c>
      <c r="F128" s="44" t="s">
        <v>681</v>
      </c>
      <c r="G128" s="237">
        <v>37900</v>
      </c>
      <c r="H128" s="187" t="s">
        <v>757</v>
      </c>
      <c r="I128" s="176" t="s">
        <v>758</v>
      </c>
      <c r="J128" s="185">
        <v>42370</v>
      </c>
      <c r="K128" s="154"/>
      <c r="L128" s="154"/>
      <c r="M128" s="191"/>
      <c r="N128" s="179">
        <v>1003</v>
      </c>
      <c r="O128" s="180">
        <v>2156</v>
      </c>
      <c r="P128" s="123">
        <v>2156</v>
      </c>
      <c r="Q128" s="123">
        <v>2128.7</v>
      </c>
      <c r="R128" s="123">
        <v>2470.1</v>
      </c>
      <c r="S128" s="123">
        <v>3018.6</v>
      </c>
      <c r="T128" s="123">
        <v>3018.6</v>
      </c>
      <c r="U128" s="180">
        <v>2156</v>
      </c>
      <c r="V128" s="123">
        <v>2156</v>
      </c>
      <c r="W128" s="123">
        <v>2128.7</v>
      </c>
      <c r="X128" s="123">
        <v>2470.1</v>
      </c>
      <c r="Y128" s="123">
        <v>3018.6</v>
      </c>
      <c r="Z128" s="123">
        <v>3018.6</v>
      </c>
      <c r="AA128" s="55">
        <f aca="true" t="shared" si="52" ref="AA128:AA136">Q128</f>
        <v>2128.7</v>
      </c>
      <c r="AB128" s="56">
        <f aca="true" t="shared" si="53" ref="AB128:AB136">R128</f>
        <v>2470.1</v>
      </c>
      <c r="AC128" s="56">
        <f aca="true" t="shared" si="54" ref="AC128:AC136">S128</f>
        <v>3018.6</v>
      </c>
      <c r="AD128" s="56">
        <f aca="true" t="shared" si="55" ref="AD128:AD136">W128</f>
        <v>2128.7</v>
      </c>
      <c r="AE128" s="56">
        <f aca="true" t="shared" si="56" ref="AE128:AE136">X128</f>
        <v>2470.1</v>
      </c>
      <c r="AF128" s="57">
        <f aca="true" t="shared" si="57" ref="AF128:AF136">Y128</f>
        <v>3018.6</v>
      </c>
      <c r="AG128" s="123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</row>
    <row r="129" spans="1:79" s="132" customFormat="1" ht="51.75" customHeight="1">
      <c r="A129" s="43"/>
      <c r="B129" s="174"/>
      <c r="C129" s="189" t="s">
        <v>759</v>
      </c>
      <c r="D129" s="183"/>
      <c r="E129" s="98"/>
      <c r="F129" s="45"/>
      <c r="G129" s="45"/>
      <c r="H129" s="177"/>
      <c r="I129" s="153" t="s">
        <v>760</v>
      </c>
      <c r="J129" s="154">
        <v>45300</v>
      </c>
      <c r="K129" s="154"/>
      <c r="L129" s="154"/>
      <c r="M129" s="191"/>
      <c r="N129" s="179" t="s">
        <v>175</v>
      </c>
      <c r="O129" s="180"/>
      <c r="P129" s="123"/>
      <c r="Q129" s="123">
        <f>475+125</f>
        <v>600</v>
      </c>
      <c r="R129" s="123">
        <v>475</v>
      </c>
      <c r="S129" s="123">
        <v>475</v>
      </c>
      <c r="T129" s="123">
        <v>475</v>
      </c>
      <c r="U129" s="180"/>
      <c r="V129" s="123"/>
      <c r="W129" s="123">
        <f>475+125</f>
        <v>600</v>
      </c>
      <c r="X129" s="123">
        <v>475</v>
      </c>
      <c r="Y129" s="123">
        <v>475</v>
      </c>
      <c r="Z129" s="123">
        <v>475</v>
      </c>
      <c r="AA129" s="55">
        <f t="shared" si="52"/>
        <v>600</v>
      </c>
      <c r="AB129" s="56">
        <f t="shared" si="53"/>
        <v>475</v>
      </c>
      <c r="AC129" s="56">
        <f t="shared" si="54"/>
        <v>475</v>
      </c>
      <c r="AD129" s="56">
        <f t="shared" si="55"/>
        <v>600</v>
      </c>
      <c r="AE129" s="56">
        <f t="shared" si="56"/>
        <v>475</v>
      </c>
      <c r="AF129" s="57">
        <f t="shared" si="57"/>
        <v>475</v>
      </c>
      <c r="AG129" s="123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</row>
    <row r="130" spans="1:79" s="132" customFormat="1" ht="51.75" customHeight="1">
      <c r="A130" s="43"/>
      <c r="B130" s="174"/>
      <c r="C130" s="189" t="s">
        <v>761</v>
      </c>
      <c r="D130" s="183"/>
      <c r="E130" s="98"/>
      <c r="F130" s="45"/>
      <c r="G130" s="45"/>
      <c r="H130" s="177"/>
      <c r="I130" s="153" t="s">
        <v>762</v>
      </c>
      <c r="J130" s="154">
        <v>45300</v>
      </c>
      <c r="K130" s="154"/>
      <c r="L130" s="154"/>
      <c r="M130" s="191"/>
      <c r="N130" s="179" t="s">
        <v>176</v>
      </c>
      <c r="O130" s="180"/>
      <c r="P130" s="123"/>
      <c r="Q130" s="123">
        <v>25371.2</v>
      </c>
      <c r="R130" s="123">
        <v>25371.2</v>
      </c>
      <c r="S130" s="123">
        <v>25371.2</v>
      </c>
      <c r="T130" s="123">
        <v>25371.2</v>
      </c>
      <c r="U130" s="180"/>
      <c r="V130" s="123"/>
      <c r="W130" s="123">
        <v>25371.2</v>
      </c>
      <c r="X130" s="123">
        <v>25371.2</v>
      </c>
      <c r="Y130" s="123">
        <v>25371.2</v>
      </c>
      <c r="Z130" s="123">
        <v>25371.2</v>
      </c>
      <c r="AA130" s="55">
        <f t="shared" si="52"/>
        <v>25371.2</v>
      </c>
      <c r="AB130" s="56">
        <f t="shared" si="53"/>
        <v>25371.2</v>
      </c>
      <c r="AC130" s="56">
        <f t="shared" si="54"/>
        <v>25371.2</v>
      </c>
      <c r="AD130" s="56">
        <f t="shared" si="55"/>
        <v>25371.2</v>
      </c>
      <c r="AE130" s="56">
        <f t="shared" si="56"/>
        <v>25371.2</v>
      </c>
      <c r="AF130" s="57">
        <f t="shared" si="57"/>
        <v>25371.2</v>
      </c>
      <c r="AG130" s="123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</row>
    <row r="131" spans="1:79" s="221" customFormat="1" ht="132">
      <c r="A131" s="199"/>
      <c r="B131" s="18" t="s">
        <v>763</v>
      </c>
      <c r="C131" s="238" t="s">
        <v>764</v>
      </c>
      <c r="D131" s="52">
        <v>3239</v>
      </c>
      <c r="E131" s="44" t="s">
        <v>73</v>
      </c>
      <c r="F131" s="52" t="s">
        <v>681</v>
      </c>
      <c r="G131" s="58">
        <v>37900</v>
      </c>
      <c r="H131" s="86" t="s">
        <v>691</v>
      </c>
      <c r="I131" s="52" t="s">
        <v>765</v>
      </c>
      <c r="J131" s="58">
        <v>38718</v>
      </c>
      <c r="K131" s="58"/>
      <c r="L131" s="58"/>
      <c r="M131" s="133"/>
      <c r="N131" s="54" t="s">
        <v>478</v>
      </c>
      <c r="O131" s="55">
        <v>156.2</v>
      </c>
      <c r="P131" s="56">
        <v>156.2</v>
      </c>
      <c r="Q131" s="56">
        <v>174</v>
      </c>
      <c r="R131" s="56">
        <v>174</v>
      </c>
      <c r="S131" s="56">
        <v>174</v>
      </c>
      <c r="T131" s="56">
        <v>174</v>
      </c>
      <c r="U131" s="55">
        <v>156.2</v>
      </c>
      <c r="V131" s="56">
        <v>156.2</v>
      </c>
      <c r="W131" s="56">
        <v>174</v>
      </c>
      <c r="X131" s="56">
        <v>174</v>
      </c>
      <c r="Y131" s="56">
        <v>174</v>
      </c>
      <c r="Z131" s="56">
        <v>174</v>
      </c>
      <c r="AA131" s="55">
        <f t="shared" si="52"/>
        <v>174</v>
      </c>
      <c r="AB131" s="56">
        <f t="shared" si="53"/>
        <v>174</v>
      </c>
      <c r="AC131" s="56">
        <f t="shared" si="54"/>
        <v>174</v>
      </c>
      <c r="AD131" s="56">
        <f t="shared" si="55"/>
        <v>174</v>
      </c>
      <c r="AE131" s="56">
        <f t="shared" si="56"/>
        <v>174</v>
      </c>
      <c r="AF131" s="57">
        <f t="shared" si="57"/>
        <v>174</v>
      </c>
      <c r="AG131" s="56" t="s">
        <v>80</v>
      </c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</row>
    <row r="132" spans="1:79" s="221" customFormat="1" ht="132">
      <c r="A132" s="199"/>
      <c r="B132" s="49" t="s">
        <v>766</v>
      </c>
      <c r="C132" s="238" t="s">
        <v>767</v>
      </c>
      <c r="D132" s="51">
        <v>3251</v>
      </c>
      <c r="E132" s="44" t="s">
        <v>73</v>
      </c>
      <c r="F132" s="52" t="s">
        <v>681</v>
      </c>
      <c r="G132" s="58">
        <v>37900</v>
      </c>
      <c r="H132" s="86" t="s">
        <v>691</v>
      </c>
      <c r="I132" s="52" t="s">
        <v>768</v>
      </c>
      <c r="J132" s="84">
        <v>38718</v>
      </c>
      <c r="K132" s="58"/>
      <c r="L132" s="58"/>
      <c r="M132" s="133"/>
      <c r="N132" s="54" t="s">
        <v>710</v>
      </c>
      <c r="O132" s="55">
        <v>30.9</v>
      </c>
      <c r="P132" s="56">
        <v>30.9</v>
      </c>
      <c r="Q132" s="56">
        <v>64.9</v>
      </c>
      <c r="R132" s="56">
        <v>64.9</v>
      </c>
      <c r="S132" s="56">
        <v>64.9</v>
      </c>
      <c r="T132" s="56">
        <v>64.9</v>
      </c>
      <c r="U132" s="55">
        <v>30.9</v>
      </c>
      <c r="V132" s="56">
        <v>30.9</v>
      </c>
      <c r="W132" s="56">
        <v>64.9</v>
      </c>
      <c r="X132" s="56">
        <v>64.9</v>
      </c>
      <c r="Y132" s="56">
        <v>64.9</v>
      </c>
      <c r="Z132" s="56">
        <v>64.9</v>
      </c>
      <c r="AA132" s="55">
        <f t="shared" si="52"/>
        <v>64.9</v>
      </c>
      <c r="AB132" s="56">
        <f t="shared" si="53"/>
        <v>64.9</v>
      </c>
      <c r="AC132" s="56">
        <f t="shared" si="54"/>
        <v>64.9</v>
      </c>
      <c r="AD132" s="56">
        <f t="shared" si="55"/>
        <v>64.9</v>
      </c>
      <c r="AE132" s="56">
        <f t="shared" si="56"/>
        <v>64.9</v>
      </c>
      <c r="AF132" s="57">
        <f t="shared" si="57"/>
        <v>64.9</v>
      </c>
      <c r="AG132" s="56" t="s">
        <v>80</v>
      </c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</row>
    <row r="133" spans="1:79" s="221" customFormat="1" ht="123.75" customHeight="1">
      <c r="A133" s="199"/>
      <c r="B133" s="49" t="s">
        <v>769</v>
      </c>
      <c r="C133" s="238" t="s">
        <v>770</v>
      </c>
      <c r="D133" s="51">
        <v>3254</v>
      </c>
      <c r="E133" s="44" t="s">
        <v>73</v>
      </c>
      <c r="F133" s="52" t="s">
        <v>681</v>
      </c>
      <c r="G133" s="58">
        <v>37900</v>
      </c>
      <c r="H133" s="86" t="s">
        <v>691</v>
      </c>
      <c r="I133" s="52" t="s">
        <v>771</v>
      </c>
      <c r="J133" s="58">
        <v>38718</v>
      </c>
      <c r="K133" s="58"/>
      <c r="L133" s="58"/>
      <c r="M133" s="133"/>
      <c r="N133" s="54" t="s">
        <v>374</v>
      </c>
      <c r="O133" s="55">
        <v>566.2</v>
      </c>
      <c r="P133" s="56">
        <v>543.5</v>
      </c>
      <c r="Q133" s="56">
        <v>824.1</v>
      </c>
      <c r="R133" s="56">
        <v>824.1</v>
      </c>
      <c r="S133" s="56">
        <v>824.1</v>
      </c>
      <c r="T133" s="56">
        <v>824.1</v>
      </c>
      <c r="U133" s="55">
        <v>566.2</v>
      </c>
      <c r="V133" s="56">
        <v>543.5</v>
      </c>
      <c r="W133" s="56">
        <v>824.1</v>
      </c>
      <c r="X133" s="56">
        <v>824.1</v>
      </c>
      <c r="Y133" s="56">
        <v>824.1</v>
      </c>
      <c r="Z133" s="56">
        <v>824.1</v>
      </c>
      <c r="AA133" s="55">
        <f t="shared" si="52"/>
        <v>824.1</v>
      </c>
      <c r="AB133" s="56">
        <f t="shared" si="53"/>
        <v>824.1</v>
      </c>
      <c r="AC133" s="56">
        <f t="shared" si="54"/>
        <v>824.1</v>
      </c>
      <c r="AD133" s="56">
        <f t="shared" si="55"/>
        <v>824.1</v>
      </c>
      <c r="AE133" s="56">
        <f t="shared" si="56"/>
        <v>824.1</v>
      </c>
      <c r="AF133" s="57">
        <f t="shared" si="57"/>
        <v>824.1</v>
      </c>
      <c r="AG133" s="56" t="s">
        <v>80</v>
      </c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</row>
    <row r="134" spans="1:79" s="221" customFormat="1" ht="120.75" customHeight="1">
      <c r="A134" s="199"/>
      <c r="B134" s="18" t="s">
        <v>772</v>
      </c>
      <c r="C134" s="95" t="s">
        <v>773</v>
      </c>
      <c r="D134" s="49">
        <v>3298</v>
      </c>
      <c r="E134" s="44" t="s">
        <v>73</v>
      </c>
      <c r="F134" s="52" t="s">
        <v>681</v>
      </c>
      <c r="G134" s="58">
        <v>37900</v>
      </c>
      <c r="H134" s="222" t="s">
        <v>691</v>
      </c>
      <c r="I134" s="52" t="s">
        <v>774</v>
      </c>
      <c r="J134" s="58">
        <v>38718</v>
      </c>
      <c r="K134" s="58"/>
      <c r="L134" s="58"/>
      <c r="M134" s="133"/>
      <c r="N134" s="54" t="s">
        <v>775</v>
      </c>
      <c r="O134" s="55">
        <f aca="true" t="shared" si="58" ref="O134:Z134">SUM(O135:O136)</f>
        <v>3364.8</v>
      </c>
      <c r="P134" s="56">
        <f t="shared" si="58"/>
        <v>3096.7</v>
      </c>
      <c r="Q134" s="56">
        <f t="shared" si="58"/>
        <v>3874.8999999999996</v>
      </c>
      <c r="R134" s="56">
        <f t="shared" si="58"/>
        <v>3874.8999999999996</v>
      </c>
      <c r="S134" s="56">
        <f t="shared" si="58"/>
        <v>3874.8999999999996</v>
      </c>
      <c r="T134" s="56">
        <f t="shared" si="58"/>
        <v>3874.8999999999996</v>
      </c>
      <c r="U134" s="55">
        <f t="shared" si="58"/>
        <v>3364.8</v>
      </c>
      <c r="V134" s="56">
        <f t="shared" si="58"/>
        <v>3096.7</v>
      </c>
      <c r="W134" s="56">
        <f t="shared" si="58"/>
        <v>3874.8999999999996</v>
      </c>
      <c r="X134" s="56">
        <f t="shared" si="58"/>
        <v>3874.8999999999996</v>
      </c>
      <c r="Y134" s="56">
        <f t="shared" si="58"/>
        <v>3874.8999999999996</v>
      </c>
      <c r="Z134" s="173">
        <f t="shared" si="58"/>
        <v>3874.8999999999996</v>
      </c>
      <c r="AA134" s="55">
        <f t="shared" si="52"/>
        <v>3874.8999999999996</v>
      </c>
      <c r="AB134" s="56">
        <f t="shared" si="53"/>
        <v>3874.8999999999996</v>
      </c>
      <c r="AC134" s="56">
        <f t="shared" si="54"/>
        <v>3874.8999999999996</v>
      </c>
      <c r="AD134" s="56">
        <f t="shared" si="55"/>
        <v>3874.8999999999996</v>
      </c>
      <c r="AE134" s="56">
        <f t="shared" si="56"/>
        <v>3874.8999999999996</v>
      </c>
      <c r="AF134" s="57">
        <f t="shared" si="57"/>
        <v>3874.8999999999996</v>
      </c>
      <c r="AG134" s="56" t="s">
        <v>80</v>
      </c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</row>
    <row r="135" spans="1:79" s="200" customFormat="1" ht="195" customHeight="1">
      <c r="A135" s="199"/>
      <c r="B135" s="174"/>
      <c r="C135" s="189" t="s">
        <v>776</v>
      </c>
      <c r="D135" s="183"/>
      <c r="E135" s="176"/>
      <c r="F135" s="153"/>
      <c r="G135" s="154"/>
      <c r="H135" s="177"/>
      <c r="I135" s="153"/>
      <c r="J135" s="154"/>
      <c r="K135" s="88" t="s">
        <v>777</v>
      </c>
      <c r="L135" s="154"/>
      <c r="M135" s="191" t="s">
        <v>725</v>
      </c>
      <c r="N135" s="179" t="s">
        <v>176</v>
      </c>
      <c r="O135" s="180">
        <v>1361</v>
      </c>
      <c r="P135" s="123">
        <v>1119.3</v>
      </c>
      <c r="Q135" s="123">
        <v>1871.1</v>
      </c>
      <c r="R135" s="123">
        <v>1871.1</v>
      </c>
      <c r="S135" s="123">
        <v>1871.1</v>
      </c>
      <c r="T135" s="123">
        <v>1871.1</v>
      </c>
      <c r="U135" s="180">
        <v>1361</v>
      </c>
      <c r="V135" s="123">
        <v>1119.3</v>
      </c>
      <c r="W135" s="123">
        <v>1871.1</v>
      </c>
      <c r="X135" s="123">
        <v>1871.1</v>
      </c>
      <c r="Y135" s="123">
        <v>1871.1</v>
      </c>
      <c r="Z135" s="123">
        <v>1871.1</v>
      </c>
      <c r="AA135" s="55">
        <f t="shared" si="52"/>
        <v>1871.1</v>
      </c>
      <c r="AB135" s="56">
        <f t="shared" si="53"/>
        <v>1871.1</v>
      </c>
      <c r="AC135" s="56">
        <f t="shared" si="54"/>
        <v>1871.1</v>
      </c>
      <c r="AD135" s="56">
        <f t="shared" si="55"/>
        <v>1871.1</v>
      </c>
      <c r="AE135" s="56">
        <f t="shared" si="56"/>
        <v>1871.1</v>
      </c>
      <c r="AF135" s="57">
        <f t="shared" si="57"/>
        <v>1871.1</v>
      </c>
      <c r="AG135" s="123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</row>
    <row r="136" spans="1:79" s="200" customFormat="1" ht="203.25" customHeight="1">
      <c r="A136" s="199"/>
      <c r="B136" s="174"/>
      <c r="C136" s="189" t="s">
        <v>778</v>
      </c>
      <c r="D136" s="183"/>
      <c r="E136" s="176"/>
      <c r="F136" s="153"/>
      <c r="G136" s="154"/>
      <c r="H136" s="177"/>
      <c r="I136" s="153"/>
      <c r="J136" s="154"/>
      <c r="K136" s="88" t="s">
        <v>779</v>
      </c>
      <c r="L136" s="154"/>
      <c r="M136" s="191" t="s">
        <v>725</v>
      </c>
      <c r="N136" s="179" t="s">
        <v>279</v>
      </c>
      <c r="O136" s="180">
        <v>2003.8</v>
      </c>
      <c r="P136" s="123">
        <v>1977.4</v>
      </c>
      <c r="Q136" s="123">
        <v>2003.8</v>
      </c>
      <c r="R136" s="123">
        <v>2003.8</v>
      </c>
      <c r="S136" s="123">
        <v>2003.8</v>
      </c>
      <c r="T136" s="123">
        <v>2003.8</v>
      </c>
      <c r="U136" s="180">
        <v>2003.8</v>
      </c>
      <c r="V136" s="123">
        <v>1977.4</v>
      </c>
      <c r="W136" s="123">
        <v>2003.8</v>
      </c>
      <c r="X136" s="123">
        <v>2003.8</v>
      </c>
      <c r="Y136" s="123">
        <v>2003.8</v>
      </c>
      <c r="Z136" s="123">
        <v>2003.8</v>
      </c>
      <c r="AA136" s="55">
        <f t="shared" si="52"/>
        <v>2003.8</v>
      </c>
      <c r="AB136" s="56">
        <f t="shared" si="53"/>
        <v>2003.8</v>
      </c>
      <c r="AC136" s="56">
        <f t="shared" si="54"/>
        <v>2003.8</v>
      </c>
      <c r="AD136" s="56">
        <f t="shared" si="55"/>
        <v>2003.8</v>
      </c>
      <c r="AE136" s="56">
        <f t="shared" si="56"/>
        <v>2003.8</v>
      </c>
      <c r="AF136" s="57">
        <f t="shared" si="57"/>
        <v>2003.8</v>
      </c>
      <c r="AG136" s="123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</row>
    <row r="137" spans="1:79" s="200" customFormat="1" ht="38.25" customHeight="1">
      <c r="A137" s="199"/>
      <c r="B137" s="239" t="s">
        <v>780</v>
      </c>
      <c r="C137" s="240" t="s">
        <v>781</v>
      </c>
      <c r="D137" s="241" t="s">
        <v>782</v>
      </c>
      <c r="E137" s="141"/>
      <c r="F137" s="142"/>
      <c r="G137" s="143"/>
      <c r="H137" s="177"/>
      <c r="I137" s="153"/>
      <c r="J137" s="154"/>
      <c r="K137" s="154"/>
      <c r="L137" s="154"/>
      <c r="M137" s="191"/>
      <c r="N137" s="179"/>
      <c r="O137" s="170">
        <f aca="true" t="shared" si="59" ref="O137:AF137">O138</f>
        <v>3397.1</v>
      </c>
      <c r="P137" s="171">
        <f t="shared" si="59"/>
        <v>3397.1</v>
      </c>
      <c r="Q137" s="171">
        <f t="shared" si="59"/>
        <v>4116.6</v>
      </c>
      <c r="R137" s="171">
        <f t="shared" si="59"/>
        <v>4281.3</v>
      </c>
      <c r="S137" s="171">
        <f t="shared" si="59"/>
        <v>4452.5</v>
      </c>
      <c r="T137" s="171">
        <f t="shared" si="59"/>
        <v>4452.5</v>
      </c>
      <c r="U137" s="170">
        <f t="shared" si="59"/>
        <v>3397.1</v>
      </c>
      <c r="V137" s="171">
        <f t="shared" si="59"/>
        <v>3397.1</v>
      </c>
      <c r="W137" s="171">
        <f t="shared" si="59"/>
        <v>4116.6</v>
      </c>
      <c r="X137" s="171">
        <f t="shared" si="59"/>
        <v>4281.3</v>
      </c>
      <c r="Y137" s="171">
        <f t="shared" si="59"/>
        <v>4452.5</v>
      </c>
      <c r="Z137" s="220">
        <f t="shared" si="59"/>
        <v>4452.5</v>
      </c>
      <c r="AA137" s="171">
        <f t="shared" si="59"/>
        <v>4116.6</v>
      </c>
      <c r="AB137" s="171">
        <f t="shared" si="59"/>
        <v>4281.3</v>
      </c>
      <c r="AC137" s="171">
        <f t="shared" si="59"/>
        <v>4452.5</v>
      </c>
      <c r="AD137" s="171">
        <f t="shared" si="59"/>
        <v>4116.6</v>
      </c>
      <c r="AE137" s="171">
        <f t="shared" si="59"/>
        <v>4281.3</v>
      </c>
      <c r="AF137" s="171">
        <f t="shared" si="59"/>
        <v>4452.5</v>
      </c>
      <c r="AG137" s="171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</row>
    <row r="138" spans="1:79" s="200" customFormat="1" ht="156">
      <c r="A138" s="199"/>
      <c r="B138" s="18" t="s">
        <v>783</v>
      </c>
      <c r="C138" s="85" t="s">
        <v>680</v>
      </c>
      <c r="D138" s="223" t="s">
        <v>784</v>
      </c>
      <c r="E138" s="44" t="s">
        <v>73</v>
      </c>
      <c r="F138" s="52" t="s">
        <v>681</v>
      </c>
      <c r="G138" s="58">
        <v>37900</v>
      </c>
      <c r="H138" s="177"/>
      <c r="I138" s="153"/>
      <c r="J138" s="154"/>
      <c r="K138" s="86" t="s">
        <v>563</v>
      </c>
      <c r="L138" s="52" t="s">
        <v>564</v>
      </c>
      <c r="M138" s="53" t="s">
        <v>565</v>
      </c>
      <c r="N138" s="179" t="s">
        <v>710</v>
      </c>
      <c r="O138" s="55">
        <v>3397.1</v>
      </c>
      <c r="P138" s="56">
        <v>3397.1</v>
      </c>
      <c r="Q138" s="56">
        <v>4116.6</v>
      </c>
      <c r="R138" s="56">
        <v>4281.3</v>
      </c>
      <c r="S138" s="56">
        <v>4452.5</v>
      </c>
      <c r="T138" s="56">
        <v>4452.5</v>
      </c>
      <c r="U138" s="55">
        <v>3397.1</v>
      </c>
      <c r="V138" s="56">
        <v>3397.1</v>
      </c>
      <c r="W138" s="56">
        <v>4116.6</v>
      </c>
      <c r="X138" s="56">
        <v>4281.3</v>
      </c>
      <c r="Y138" s="56">
        <v>4452.5</v>
      </c>
      <c r="Z138" s="56">
        <v>4452.5</v>
      </c>
      <c r="AA138" s="55">
        <f>Q138</f>
        <v>4116.6</v>
      </c>
      <c r="AB138" s="56">
        <f>R138</f>
        <v>4281.3</v>
      </c>
      <c r="AC138" s="56">
        <f>S138</f>
        <v>4452.5</v>
      </c>
      <c r="AD138" s="56">
        <f>W138</f>
        <v>4116.6</v>
      </c>
      <c r="AE138" s="56">
        <f>X138</f>
        <v>4281.3</v>
      </c>
      <c r="AF138" s="57">
        <f>Y138</f>
        <v>4452.5</v>
      </c>
      <c r="AG138" s="56" t="s">
        <v>80</v>
      </c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</row>
    <row r="139" spans="1:79" s="132" customFormat="1" ht="74.25" customHeight="1">
      <c r="A139" s="43"/>
      <c r="B139" s="192" t="s">
        <v>785</v>
      </c>
      <c r="C139" s="111" t="s">
        <v>786</v>
      </c>
      <c r="D139" s="192">
        <v>3400</v>
      </c>
      <c r="E139" s="130"/>
      <c r="F139" s="45"/>
      <c r="G139" s="131"/>
      <c r="H139" s="218"/>
      <c r="I139" s="45"/>
      <c r="J139" s="131"/>
      <c r="K139" s="131"/>
      <c r="L139" s="131"/>
      <c r="M139" s="219"/>
      <c r="N139" s="35"/>
      <c r="O139" s="193">
        <f aca="true" t="shared" si="60" ref="O139:AF139">SUM(O140,O144)</f>
        <v>1397531.3</v>
      </c>
      <c r="P139" s="194">
        <f t="shared" si="60"/>
        <v>1397036.3</v>
      </c>
      <c r="Q139" s="194">
        <f t="shared" si="60"/>
        <v>1457895.7000000002</v>
      </c>
      <c r="R139" s="194">
        <f t="shared" si="60"/>
        <v>1457895.7000000002</v>
      </c>
      <c r="S139" s="194">
        <f t="shared" si="60"/>
        <v>1457895.7000000002</v>
      </c>
      <c r="T139" s="194">
        <f t="shared" si="60"/>
        <v>1457895.7000000002</v>
      </c>
      <c r="U139" s="193">
        <f t="shared" si="60"/>
        <v>1397531.3</v>
      </c>
      <c r="V139" s="194">
        <f t="shared" si="60"/>
        <v>1397036.3</v>
      </c>
      <c r="W139" s="194">
        <f t="shared" si="60"/>
        <v>1457895.7000000002</v>
      </c>
      <c r="X139" s="194">
        <f t="shared" si="60"/>
        <v>1457895.7000000002</v>
      </c>
      <c r="Y139" s="194">
        <f t="shared" si="60"/>
        <v>1457895.7000000002</v>
      </c>
      <c r="Z139" s="195">
        <f t="shared" si="60"/>
        <v>1457895.7000000002</v>
      </c>
      <c r="AA139" s="193">
        <f t="shared" si="60"/>
        <v>1457895.7000000002</v>
      </c>
      <c r="AB139" s="194">
        <f t="shared" si="60"/>
        <v>1457895.7000000002</v>
      </c>
      <c r="AC139" s="194">
        <f t="shared" si="60"/>
        <v>1457895.7000000002</v>
      </c>
      <c r="AD139" s="194">
        <f t="shared" si="60"/>
        <v>1457895.7000000002</v>
      </c>
      <c r="AE139" s="194">
        <f t="shared" si="60"/>
        <v>1457895.7000000002</v>
      </c>
      <c r="AF139" s="194">
        <f t="shared" si="60"/>
        <v>1457895.7000000002</v>
      </c>
      <c r="AG139" s="194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</row>
    <row r="140" spans="1:66" s="155" customFormat="1" ht="119.25" customHeight="1">
      <c r="A140" s="152"/>
      <c r="B140" s="351" t="s">
        <v>787</v>
      </c>
      <c r="C140" s="319" t="s">
        <v>788</v>
      </c>
      <c r="D140" s="350" t="s">
        <v>789</v>
      </c>
      <c r="E140" s="44" t="s">
        <v>73</v>
      </c>
      <c r="F140" s="52" t="s">
        <v>681</v>
      </c>
      <c r="G140" s="58">
        <v>37900</v>
      </c>
      <c r="H140" s="86" t="s">
        <v>691</v>
      </c>
      <c r="I140" s="52" t="s">
        <v>790</v>
      </c>
      <c r="J140" s="58">
        <v>38718</v>
      </c>
      <c r="K140" s="58" t="s">
        <v>254</v>
      </c>
      <c r="L140" s="58" t="s">
        <v>77</v>
      </c>
      <c r="M140" s="133" t="s">
        <v>78</v>
      </c>
      <c r="N140" s="352" t="s">
        <v>279</v>
      </c>
      <c r="O140" s="353">
        <v>901698.5</v>
      </c>
      <c r="P140" s="318">
        <v>901359.1</v>
      </c>
      <c r="Q140" s="318">
        <v>932093.8</v>
      </c>
      <c r="R140" s="318">
        <v>932093.8</v>
      </c>
      <c r="S140" s="318">
        <v>932093.8</v>
      </c>
      <c r="T140" s="318">
        <v>932093.8</v>
      </c>
      <c r="U140" s="353">
        <v>901698.5</v>
      </c>
      <c r="V140" s="318">
        <v>901359.1</v>
      </c>
      <c r="W140" s="318">
        <v>932093.8</v>
      </c>
      <c r="X140" s="318">
        <v>932093.8</v>
      </c>
      <c r="Y140" s="318">
        <v>932093.8</v>
      </c>
      <c r="Z140" s="318">
        <v>932093.8</v>
      </c>
      <c r="AA140" s="315">
        <f>Q140</f>
        <v>932093.8</v>
      </c>
      <c r="AB140" s="316">
        <f>R140</f>
        <v>932093.8</v>
      </c>
      <c r="AC140" s="316">
        <f>S140</f>
        <v>932093.8</v>
      </c>
      <c r="AD140" s="316">
        <f>W140</f>
        <v>932093.8</v>
      </c>
      <c r="AE140" s="316">
        <f>X140</f>
        <v>932093.8</v>
      </c>
      <c r="AF140" s="317">
        <f>Y140</f>
        <v>932093.8</v>
      </c>
      <c r="AG140" s="316" t="s">
        <v>80</v>
      </c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</row>
    <row r="141" spans="1:66" s="155" customFormat="1" ht="409.5" customHeight="1">
      <c r="A141" s="152"/>
      <c r="B141" s="351"/>
      <c r="C141" s="319"/>
      <c r="D141" s="350"/>
      <c r="E141" s="98" t="s">
        <v>273</v>
      </c>
      <c r="F141" s="52" t="s">
        <v>791</v>
      </c>
      <c r="G141" s="58">
        <v>41275</v>
      </c>
      <c r="H141" s="226" t="s">
        <v>716</v>
      </c>
      <c r="I141" s="52" t="s">
        <v>717</v>
      </c>
      <c r="J141" s="58">
        <v>39083</v>
      </c>
      <c r="K141" s="98" t="s">
        <v>718</v>
      </c>
      <c r="L141" s="52"/>
      <c r="M141" s="84" t="s">
        <v>725</v>
      </c>
      <c r="N141" s="352"/>
      <c r="O141" s="353"/>
      <c r="P141" s="318"/>
      <c r="Q141" s="318"/>
      <c r="R141" s="318"/>
      <c r="S141" s="318"/>
      <c r="T141" s="318"/>
      <c r="U141" s="353"/>
      <c r="V141" s="318"/>
      <c r="W141" s="318"/>
      <c r="X141" s="318"/>
      <c r="Y141" s="318"/>
      <c r="Z141" s="318"/>
      <c r="AA141" s="315"/>
      <c r="AB141" s="316"/>
      <c r="AC141" s="316"/>
      <c r="AD141" s="316"/>
      <c r="AE141" s="316"/>
      <c r="AF141" s="317"/>
      <c r="AG141" s="316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</row>
    <row r="142" spans="1:66" s="155" customFormat="1" ht="88.5" customHeight="1">
      <c r="A142" s="152"/>
      <c r="B142" s="351"/>
      <c r="C142" s="319"/>
      <c r="D142" s="350"/>
      <c r="E142" s="98"/>
      <c r="F142" s="52"/>
      <c r="G142" s="52"/>
      <c r="H142" s="226" t="s">
        <v>792</v>
      </c>
      <c r="I142" s="52" t="s">
        <v>793</v>
      </c>
      <c r="J142" s="52" t="s">
        <v>794</v>
      </c>
      <c r="K142" s="52"/>
      <c r="L142" s="52"/>
      <c r="M142" s="134"/>
      <c r="N142" s="352"/>
      <c r="O142" s="353"/>
      <c r="P142" s="318"/>
      <c r="Q142" s="318"/>
      <c r="R142" s="318"/>
      <c r="S142" s="318"/>
      <c r="T142" s="318"/>
      <c r="U142" s="353"/>
      <c r="V142" s="318"/>
      <c r="W142" s="318"/>
      <c r="X142" s="318"/>
      <c r="Y142" s="318"/>
      <c r="Z142" s="318"/>
      <c r="AA142" s="315"/>
      <c r="AB142" s="316"/>
      <c r="AC142" s="316"/>
      <c r="AD142" s="316"/>
      <c r="AE142" s="316"/>
      <c r="AF142" s="317"/>
      <c r="AG142" s="316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</row>
    <row r="143" spans="1:56" s="209" customFormat="1" ht="78" customHeight="1">
      <c r="A143" s="208"/>
      <c r="B143" s="242"/>
      <c r="C143" s="243"/>
      <c r="D143" s="244"/>
      <c r="E143" s="97" t="s">
        <v>318</v>
      </c>
      <c r="F143" s="245" t="s">
        <v>795</v>
      </c>
      <c r="G143" s="245"/>
      <c r="H143" s="246"/>
      <c r="I143" s="245"/>
      <c r="J143" s="245"/>
      <c r="K143" s="245"/>
      <c r="L143" s="245"/>
      <c r="M143" s="247"/>
      <c r="N143" s="248" t="s">
        <v>279</v>
      </c>
      <c r="O143" s="249">
        <v>697191</v>
      </c>
      <c r="P143" s="250">
        <v>696928.6</v>
      </c>
      <c r="Q143" s="250">
        <v>721413.7</v>
      </c>
      <c r="R143" s="250">
        <v>720692.6</v>
      </c>
      <c r="S143" s="250">
        <v>720692.6</v>
      </c>
      <c r="T143" s="250">
        <v>720692.6</v>
      </c>
      <c r="U143" s="249">
        <v>697191</v>
      </c>
      <c r="V143" s="250">
        <v>696928.6</v>
      </c>
      <c r="W143" s="250">
        <v>721413.7</v>
      </c>
      <c r="X143" s="250">
        <v>720692.6</v>
      </c>
      <c r="Y143" s="250">
        <v>720692.6</v>
      </c>
      <c r="Z143" s="250">
        <v>720692.6</v>
      </c>
      <c r="AA143" s="69">
        <f>Q143</f>
        <v>721413.7</v>
      </c>
      <c r="AB143" s="70">
        <f>R143</f>
        <v>720692.6</v>
      </c>
      <c r="AC143" s="70">
        <f>S143</f>
        <v>720692.6</v>
      </c>
      <c r="AD143" s="70">
        <f>W143</f>
        <v>721413.7</v>
      </c>
      <c r="AE143" s="70">
        <f>X143</f>
        <v>720692.6</v>
      </c>
      <c r="AF143" s="71">
        <f>Y143</f>
        <v>720692.6</v>
      </c>
      <c r="AG143" s="250"/>
      <c r="AH143" s="208"/>
      <c r="AI143" s="208"/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  <c r="AV143" s="208"/>
      <c r="AW143" s="208"/>
      <c r="AX143" s="208"/>
      <c r="AY143" s="208"/>
      <c r="AZ143" s="208"/>
      <c r="BA143" s="208"/>
      <c r="BB143" s="208"/>
      <c r="BC143" s="208"/>
      <c r="BD143" s="208"/>
    </row>
    <row r="144" spans="1:66" s="155" customFormat="1" ht="117" customHeight="1">
      <c r="A144" s="152"/>
      <c r="B144" s="354" t="s">
        <v>796</v>
      </c>
      <c r="C144" s="355" t="s">
        <v>797</v>
      </c>
      <c r="D144" s="356" t="s">
        <v>798</v>
      </c>
      <c r="E144" s="98" t="s">
        <v>73</v>
      </c>
      <c r="F144" s="52" t="s">
        <v>681</v>
      </c>
      <c r="G144" s="58">
        <v>37900</v>
      </c>
      <c r="H144" s="86" t="s">
        <v>691</v>
      </c>
      <c r="I144" s="52" t="s">
        <v>790</v>
      </c>
      <c r="J144" s="58">
        <v>38718</v>
      </c>
      <c r="K144" s="58" t="s">
        <v>254</v>
      </c>
      <c r="L144" s="58" t="s">
        <v>77</v>
      </c>
      <c r="M144" s="133" t="s">
        <v>78</v>
      </c>
      <c r="N144" s="314" t="s">
        <v>799</v>
      </c>
      <c r="O144" s="315">
        <v>495832.8</v>
      </c>
      <c r="P144" s="316">
        <v>495677.2</v>
      </c>
      <c r="Q144" s="316">
        <v>525801.9</v>
      </c>
      <c r="R144" s="316">
        <v>525801.9</v>
      </c>
      <c r="S144" s="316">
        <v>525801.9</v>
      </c>
      <c r="T144" s="316">
        <v>525801.9</v>
      </c>
      <c r="U144" s="315">
        <v>495832.8</v>
      </c>
      <c r="V144" s="316">
        <v>495677.2</v>
      </c>
      <c r="W144" s="316">
        <v>525801.9</v>
      </c>
      <c r="X144" s="316">
        <v>525801.9</v>
      </c>
      <c r="Y144" s="316">
        <v>525801.9</v>
      </c>
      <c r="Z144" s="316">
        <v>525801.9</v>
      </c>
      <c r="AA144" s="315">
        <f>Q144</f>
        <v>525801.9</v>
      </c>
      <c r="AB144" s="316">
        <f>R144</f>
        <v>525801.9</v>
      </c>
      <c r="AC144" s="316">
        <f>S144</f>
        <v>525801.9</v>
      </c>
      <c r="AD144" s="316">
        <f>W144</f>
        <v>525801.9</v>
      </c>
      <c r="AE144" s="316">
        <f>X144</f>
        <v>525801.9</v>
      </c>
      <c r="AF144" s="317">
        <f>Y144</f>
        <v>525801.9</v>
      </c>
      <c r="AG144" s="316" t="s">
        <v>80</v>
      </c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</row>
    <row r="145" spans="1:66" s="155" customFormat="1" ht="294" customHeight="1">
      <c r="A145" s="152"/>
      <c r="B145" s="354"/>
      <c r="C145" s="355"/>
      <c r="D145" s="356"/>
      <c r="E145" s="251" t="s">
        <v>273</v>
      </c>
      <c r="F145" s="252" t="s">
        <v>791</v>
      </c>
      <c r="G145" s="58">
        <v>41275</v>
      </c>
      <c r="H145" s="226" t="s">
        <v>716</v>
      </c>
      <c r="I145" s="52" t="s">
        <v>717</v>
      </c>
      <c r="J145" s="58">
        <v>39083</v>
      </c>
      <c r="K145" s="98" t="s">
        <v>800</v>
      </c>
      <c r="L145" s="52"/>
      <c r="M145" s="84" t="s">
        <v>725</v>
      </c>
      <c r="N145" s="314"/>
      <c r="O145" s="315"/>
      <c r="P145" s="316"/>
      <c r="Q145" s="316"/>
      <c r="R145" s="316"/>
      <c r="S145" s="316"/>
      <c r="T145" s="316"/>
      <c r="U145" s="315"/>
      <c r="V145" s="316"/>
      <c r="W145" s="316"/>
      <c r="X145" s="316"/>
      <c r="Y145" s="316"/>
      <c r="Z145" s="316"/>
      <c r="AA145" s="315"/>
      <c r="AB145" s="316"/>
      <c r="AC145" s="316"/>
      <c r="AD145" s="316"/>
      <c r="AE145" s="316"/>
      <c r="AF145" s="317"/>
      <c r="AG145" s="316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</row>
    <row r="146" spans="1:56" s="209" customFormat="1" ht="83.25" customHeight="1">
      <c r="A146" s="208"/>
      <c r="B146" s="60"/>
      <c r="C146" s="253"/>
      <c r="D146" s="254"/>
      <c r="E146" s="62" t="s">
        <v>318</v>
      </c>
      <c r="F146" s="63" t="s">
        <v>795</v>
      </c>
      <c r="G146" s="63"/>
      <c r="H146" s="91"/>
      <c r="I146" s="63"/>
      <c r="J146" s="63"/>
      <c r="K146" s="63"/>
      <c r="L146" s="63"/>
      <c r="M146" s="65"/>
      <c r="N146" s="66" t="s">
        <v>255</v>
      </c>
      <c r="O146" s="67">
        <v>375943.4</v>
      </c>
      <c r="P146" s="68">
        <v>375825.3</v>
      </c>
      <c r="Q146" s="68">
        <v>397933.8</v>
      </c>
      <c r="R146" s="68">
        <v>398666.2</v>
      </c>
      <c r="S146" s="68">
        <v>398666.2</v>
      </c>
      <c r="T146" s="68">
        <v>398666.2</v>
      </c>
      <c r="U146" s="67">
        <v>375943.4</v>
      </c>
      <c r="V146" s="68">
        <v>375825.3</v>
      </c>
      <c r="W146" s="68">
        <v>397933.8</v>
      </c>
      <c r="X146" s="68">
        <v>398666.2</v>
      </c>
      <c r="Y146" s="68">
        <v>398666.2</v>
      </c>
      <c r="Z146" s="68">
        <v>398666.2</v>
      </c>
      <c r="AA146" s="69">
        <f>Q146</f>
        <v>397933.8</v>
      </c>
      <c r="AB146" s="70">
        <f>R146</f>
        <v>398666.2</v>
      </c>
      <c r="AC146" s="70">
        <f>S146</f>
        <v>398666.2</v>
      </c>
      <c r="AD146" s="70">
        <f>W146</f>
        <v>397933.8</v>
      </c>
      <c r="AE146" s="70">
        <f>X146</f>
        <v>398666.2</v>
      </c>
      <c r="AF146" s="71">
        <f>Y146</f>
        <v>398666.2</v>
      </c>
      <c r="AG146" s="68"/>
      <c r="AH146" s="208"/>
      <c r="AI146" s="208"/>
      <c r="AJ146" s="208"/>
      <c r="AK146" s="208"/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  <c r="AV146" s="208"/>
      <c r="AW146" s="208"/>
      <c r="AX146" s="208"/>
      <c r="AY146" s="208"/>
      <c r="AZ146" s="208"/>
      <c r="BA146" s="208"/>
      <c r="BB146" s="208"/>
      <c r="BC146" s="208"/>
      <c r="BD146" s="208"/>
    </row>
    <row r="147" spans="1:79" s="42" customFormat="1" ht="108" customHeight="1">
      <c r="A147" s="43"/>
      <c r="B147" s="135" t="s">
        <v>801</v>
      </c>
      <c r="C147" s="136" t="s">
        <v>802</v>
      </c>
      <c r="D147" s="135">
        <v>3500</v>
      </c>
      <c r="E147" s="255"/>
      <c r="F147" s="142"/>
      <c r="G147" s="142"/>
      <c r="H147" s="218"/>
      <c r="I147" s="45"/>
      <c r="J147" s="45"/>
      <c r="K147" s="45"/>
      <c r="L147" s="45"/>
      <c r="M147" s="46"/>
      <c r="N147" s="35"/>
      <c r="O147" s="193">
        <f>SUM(O148:O148)</f>
        <v>11418.3</v>
      </c>
      <c r="P147" s="194">
        <f>SUM(P148:P148)</f>
        <v>11418.3</v>
      </c>
      <c r="Q147" s="194">
        <f>SUM(Q148:Q148)</f>
        <v>12706.1</v>
      </c>
      <c r="R147" s="194">
        <f>SUM(R148:R148)</f>
        <v>17563.8</v>
      </c>
      <c r="S147" s="194">
        <f>SUM(S148:S148)</f>
        <v>17563.8</v>
      </c>
      <c r="T147" s="194">
        <f>SUM(T148:T148)</f>
        <v>17563.8</v>
      </c>
      <c r="U147" s="193">
        <f>SUM(U148:U148)</f>
        <v>11418.3</v>
      </c>
      <c r="V147" s="194">
        <f>SUM(V148:V148)</f>
        <v>11418.3</v>
      </c>
      <c r="W147" s="194">
        <f>SUM(W148:W148)</f>
        <v>12706.1</v>
      </c>
      <c r="X147" s="194">
        <f>SUM(X148:X148)</f>
        <v>17563.8</v>
      </c>
      <c r="Y147" s="194">
        <f>SUM(Y148:Y148)</f>
        <v>17563.8</v>
      </c>
      <c r="Z147" s="195">
        <f>SUM(Z148:Z148)</f>
        <v>17563.8</v>
      </c>
      <c r="AA147" s="193">
        <f>SUM(AA148:AA148)</f>
        <v>12706.1</v>
      </c>
      <c r="AB147" s="194">
        <f>SUM(AB148:AB148)</f>
        <v>17563.8</v>
      </c>
      <c r="AC147" s="194">
        <f>SUM(AC148:AC148)</f>
        <v>17563.8</v>
      </c>
      <c r="AD147" s="194">
        <f>SUM(AD148:AD148)</f>
        <v>12706.1</v>
      </c>
      <c r="AE147" s="194">
        <f>SUM(AE148:AE148)</f>
        <v>17563.8</v>
      </c>
      <c r="AF147" s="194">
        <f>SUM(AF148:AF148)</f>
        <v>17563.8</v>
      </c>
      <c r="AG147" s="194"/>
      <c r="AH147" s="48"/>
      <c r="AI147" s="48"/>
      <c r="AJ147" s="48" t="s">
        <v>803</v>
      </c>
      <c r="AK147" s="48" t="s">
        <v>804</v>
      </c>
      <c r="AL147" s="48" t="s">
        <v>805</v>
      </c>
      <c r="AM147" s="48" t="s">
        <v>806</v>
      </c>
      <c r="AN147" s="48" t="s">
        <v>807</v>
      </c>
      <c r="AO147" s="48" t="s">
        <v>808</v>
      </c>
      <c r="AP147" s="48" t="s">
        <v>809</v>
      </c>
      <c r="AQ147" s="48" t="s">
        <v>810</v>
      </c>
      <c r="AR147" s="48" t="s">
        <v>811</v>
      </c>
      <c r="AS147" s="48" t="s">
        <v>812</v>
      </c>
      <c r="AT147" s="48" t="s">
        <v>813</v>
      </c>
      <c r="AU147" s="48" t="s">
        <v>814</v>
      </c>
      <c r="AV147" s="48" t="s">
        <v>815</v>
      </c>
      <c r="AW147" s="48" t="s">
        <v>816</v>
      </c>
      <c r="AX147" s="48" t="s">
        <v>817</v>
      </c>
      <c r="AY147" s="48" t="s">
        <v>818</v>
      </c>
      <c r="AZ147" s="48" t="s">
        <v>819</v>
      </c>
      <c r="BA147" s="48"/>
      <c r="BB147" s="48"/>
      <c r="BC147" s="48"/>
      <c r="BD147" s="48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</row>
    <row r="148" spans="1:56" s="197" customFormat="1" ht="27">
      <c r="A148" s="149"/>
      <c r="B148" s="139" t="s">
        <v>820</v>
      </c>
      <c r="C148" s="140" t="s">
        <v>821</v>
      </c>
      <c r="D148" s="139">
        <v>3504</v>
      </c>
      <c r="E148" s="256"/>
      <c r="F148" s="257"/>
      <c r="G148" s="258"/>
      <c r="H148" s="256"/>
      <c r="I148" s="257"/>
      <c r="J148" s="257"/>
      <c r="K148" s="257"/>
      <c r="L148" s="257"/>
      <c r="M148" s="259"/>
      <c r="N148" s="260"/>
      <c r="O148" s="145">
        <f>SUM(O149:O149)</f>
        <v>11418.3</v>
      </c>
      <c r="P148" s="145">
        <f>SUM(P149:P149)</f>
        <v>11418.3</v>
      </c>
      <c r="Q148" s="145">
        <f>SUM(Q149:Q149)</f>
        <v>12706.1</v>
      </c>
      <c r="R148" s="145">
        <f>SUM(R149:R149)</f>
        <v>17563.8</v>
      </c>
      <c r="S148" s="145">
        <f>SUM(S149:S149)</f>
        <v>17563.8</v>
      </c>
      <c r="T148" s="146">
        <f>SUM(T149:T149)</f>
        <v>17563.8</v>
      </c>
      <c r="U148" s="145">
        <f>SUM(U149:U149)</f>
        <v>11418.3</v>
      </c>
      <c r="V148" s="145">
        <f>SUM(V149:V149)</f>
        <v>11418.3</v>
      </c>
      <c r="W148" s="145">
        <f>SUM(W149:W149)</f>
        <v>12706.1</v>
      </c>
      <c r="X148" s="145">
        <f>SUM(X149:X149)</f>
        <v>17563.8</v>
      </c>
      <c r="Y148" s="145">
        <f>SUM(Y149:Y149)</f>
        <v>17563.8</v>
      </c>
      <c r="Z148" s="146">
        <f>SUM(Z149:Z149)</f>
        <v>17563.8</v>
      </c>
      <c r="AA148" s="145">
        <f>SUM(AA149:AA149)</f>
        <v>12706.1</v>
      </c>
      <c r="AB148" s="145">
        <f>SUM(AB149:AB149)</f>
        <v>17563.8</v>
      </c>
      <c r="AC148" s="145">
        <f>SUM(AC149:AC149)</f>
        <v>17563.8</v>
      </c>
      <c r="AD148" s="145">
        <f>SUM(AD149:AD149)</f>
        <v>12706.1</v>
      </c>
      <c r="AE148" s="145">
        <f>SUM(AE149:AE149)</f>
        <v>17563.8</v>
      </c>
      <c r="AF148" s="145">
        <f>SUM(AF149:AF149)</f>
        <v>17563.8</v>
      </c>
      <c r="AG148" s="145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</row>
    <row r="149" spans="1:79" s="213" customFormat="1" ht="207.75" customHeight="1">
      <c r="A149" s="8"/>
      <c r="B149" s="18" t="s">
        <v>822</v>
      </c>
      <c r="C149" s="85" t="s">
        <v>823</v>
      </c>
      <c r="D149" s="223" t="s">
        <v>824</v>
      </c>
      <c r="E149" s="32"/>
      <c r="F149" s="261"/>
      <c r="G149" s="261"/>
      <c r="H149" s="156"/>
      <c r="I149" s="157"/>
      <c r="J149" s="157"/>
      <c r="K149" s="156" t="s">
        <v>825</v>
      </c>
      <c r="L149" s="157" t="s">
        <v>564</v>
      </c>
      <c r="M149" s="93" t="s">
        <v>826</v>
      </c>
      <c r="N149" s="262">
        <v>1403</v>
      </c>
      <c r="O149" s="55">
        <v>11418.3</v>
      </c>
      <c r="P149" s="56">
        <v>11418.3</v>
      </c>
      <c r="Q149" s="129">
        <v>12706.1</v>
      </c>
      <c r="R149" s="129">
        <v>17563.8</v>
      </c>
      <c r="S149" s="129">
        <v>17563.8</v>
      </c>
      <c r="T149" s="129">
        <v>17563.8</v>
      </c>
      <c r="U149" s="55">
        <v>11418.3</v>
      </c>
      <c r="V149" s="56">
        <v>11418.3</v>
      </c>
      <c r="W149" s="129">
        <v>12706.1</v>
      </c>
      <c r="X149" s="129">
        <v>17563.8</v>
      </c>
      <c r="Y149" s="129">
        <v>17563.8</v>
      </c>
      <c r="Z149" s="129">
        <v>17563.8</v>
      </c>
      <c r="AA149" s="55">
        <f>Q149</f>
        <v>12706.1</v>
      </c>
      <c r="AB149" s="56">
        <f>R149</f>
        <v>17563.8</v>
      </c>
      <c r="AC149" s="56">
        <f>S149</f>
        <v>17563.8</v>
      </c>
      <c r="AD149" s="56">
        <f>W149</f>
        <v>12706.1</v>
      </c>
      <c r="AE149" s="56">
        <f>X149</f>
        <v>17563.8</v>
      </c>
      <c r="AF149" s="57">
        <f>Y149</f>
        <v>17563.8</v>
      </c>
      <c r="AG149" s="12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</row>
    <row r="150" spans="1:79" s="42" customFormat="1" ht="51">
      <c r="A150" s="43"/>
      <c r="B150" s="263" t="s">
        <v>827</v>
      </c>
      <c r="C150" s="30" t="s">
        <v>828</v>
      </c>
      <c r="D150" s="31" t="s">
        <v>829</v>
      </c>
      <c r="E150" s="264"/>
      <c r="F150" s="33"/>
      <c r="G150" s="33"/>
      <c r="H150" s="265"/>
      <c r="I150" s="266"/>
      <c r="J150" s="266"/>
      <c r="K150" s="266"/>
      <c r="L150" s="266"/>
      <c r="M150" s="267"/>
      <c r="N150" s="268"/>
      <c r="O150" s="193"/>
      <c r="P150" s="194"/>
      <c r="Q150" s="37"/>
      <c r="R150" s="37">
        <v>81740</v>
      </c>
      <c r="S150" s="37">
        <v>170068</v>
      </c>
      <c r="T150" s="37">
        <v>170068</v>
      </c>
      <c r="U150" s="193"/>
      <c r="V150" s="194"/>
      <c r="W150" s="37"/>
      <c r="X150" s="37">
        <v>81740</v>
      </c>
      <c r="Y150" s="37">
        <v>170068</v>
      </c>
      <c r="Z150" s="37">
        <v>170068</v>
      </c>
      <c r="AA150" s="36"/>
      <c r="AB150" s="37">
        <v>71682</v>
      </c>
      <c r="AC150" s="37">
        <v>145926</v>
      </c>
      <c r="AD150" s="37"/>
      <c r="AE150" s="37">
        <v>71682</v>
      </c>
      <c r="AF150" s="39">
        <v>145926</v>
      </c>
      <c r="AG150" s="37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</row>
    <row r="151" spans="1:79" s="42" customFormat="1" ht="30" customHeight="1">
      <c r="A151" s="43"/>
      <c r="B151" s="263"/>
      <c r="C151" s="269" t="s">
        <v>830</v>
      </c>
      <c r="D151" s="31" t="s">
        <v>831</v>
      </c>
      <c r="E151" s="32"/>
      <c r="F151" s="33"/>
      <c r="G151" s="33"/>
      <c r="H151" s="33"/>
      <c r="I151" s="33"/>
      <c r="J151" s="33"/>
      <c r="K151" s="33"/>
      <c r="L151" s="33"/>
      <c r="M151" s="34"/>
      <c r="N151" s="35"/>
      <c r="O151" s="36">
        <f aca="true" t="shared" si="61" ref="O151:AF151">O8</f>
        <v>6683730.399999999</v>
      </c>
      <c r="P151" s="37">
        <f t="shared" si="61"/>
        <v>6578984.300000001</v>
      </c>
      <c r="Q151" s="37">
        <f t="shared" si="61"/>
        <v>6428491.799999999</v>
      </c>
      <c r="R151" s="37">
        <f t="shared" si="61"/>
        <v>6527263.6</v>
      </c>
      <c r="S151" s="37">
        <f t="shared" si="61"/>
        <v>5911671.000000001</v>
      </c>
      <c r="T151" s="38">
        <f t="shared" si="61"/>
        <v>5911671.000000001</v>
      </c>
      <c r="U151" s="36">
        <f t="shared" si="61"/>
        <v>6140402.199999999</v>
      </c>
      <c r="V151" s="37">
        <f t="shared" si="61"/>
        <v>6038567.800000001</v>
      </c>
      <c r="W151" s="37">
        <f t="shared" si="61"/>
        <v>5956566.1</v>
      </c>
      <c r="X151" s="37">
        <f t="shared" si="61"/>
        <v>5864207.4</v>
      </c>
      <c r="Y151" s="37">
        <f t="shared" si="61"/>
        <v>5878271.000000001</v>
      </c>
      <c r="Z151" s="38">
        <f t="shared" si="61"/>
        <v>5878271.000000001</v>
      </c>
      <c r="AA151" s="36">
        <f t="shared" si="61"/>
        <v>6426426.899999999</v>
      </c>
      <c r="AB151" s="37">
        <f t="shared" si="61"/>
        <v>6515140.7</v>
      </c>
      <c r="AC151" s="37">
        <f t="shared" si="61"/>
        <v>5885529.000000001</v>
      </c>
      <c r="AD151" s="37">
        <f t="shared" si="61"/>
        <v>5954566.1</v>
      </c>
      <c r="AE151" s="37">
        <f t="shared" si="61"/>
        <v>5852149.4</v>
      </c>
      <c r="AF151" s="39">
        <f t="shared" si="61"/>
        <v>5852129.000000001</v>
      </c>
      <c r="AG151" s="37"/>
      <c r="AH151" s="48"/>
      <c r="AI151" s="48"/>
      <c r="AJ151" s="48" t="s">
        <v>832</v>
      </c>
      <c r="AK151" s="48" t="s">
        <v>833</v>
      </c>
      <c r="AL151" s="48" t="s">
        <v>834</v>
      </c>
      <c r="AM151" s="48" t="s">
        <v>835</v>
      </c>
      <c r="AN151" s="48" t="s">
        <v>836</v>
      </c>
      <c r="AO151" s="48" t="s">
        <v>837</v>
      </c>
      <c r="AP151" s="48" t="s">
        <v>838</v>
      </c>
      <c r="AQ151" s="48" t="s">
        <v>839</v>
      </c>
      <c r="AR151" s="48" t="s">
        <v>840</v>
      </c>
      <c r="AS151" s="48" t="s">
        <v>841</v>
      </c>
      <c r="AT151" s="48" t="s">
        <v>842</v>
      </c>
      <c r="AU151" s="48" t="s">
        <v>843</v>
      </c>
      <c r="AV151" s="48" t="s">
        <v>844</v>
      </c>
      <c r="AW151" s="48" t="s">
        <v>845</v>
      </c>
      <c r="AX151" s="48" t="s">
        <v>846</v>
      </c>
      <c r="AY151" s="48" t="s">
        <v>847</v>
      </c>
      <c r="AZ151" s="48" t="s">
        <v>848</v>
      </c>
      <c r="BA151" s="48"/>
      <c r="BB151" s="48"/>
      <c r="BC151" s="48"/>
      <c r="BD151" s="48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</row>
    <row r="152" spans="1:79" s="213" customFormat="1" ht="12" customHeight="1">
      <c r="A152" s="8"/>
      <c r="B152" s="270"/>
      <c r="C152" s="271"/>
      <c r="D152" s="272"/>
      <c r="E152" s="273"/>
      <c r="F152" s="274"/>
      <c r="G152" s="274"/>
      <c r="H152" s="274"/>
      <c r="I152" s="274"/>
      <c r="J152" s="274"/>
      <c r="K152" s="274"/>
      <c r="L152" s="274"/>
      <c r="M152" s="274"/>
      <c r="N152" s="275"/>
      <c r="O152" s="276"/>
      <c r="P152" s="277"/>
      <c r="Q152" s="276"/>
      <c r="R152" s="277"/>
      <c r="S152" s="277"/>
      <c r="T152" s="278"/>
      <c r="U152" s="276"/>
      <c r="V152" s="277"/>
      <c r="W152" s="276"/>
      <c r="X152" s="277"/>
      <c r="Y152" s="277"/>
      <c r="Z152" s="278"/>
      <c r="AA152" s="278"/>
      <c r="AB152" s="278"/>
      <c r="AC152" s="278"/>
      <c r="AD152" s="278"/>
      <c r="AE152" s="278"/>
      <c r="AF152" s="278"/>
      <c r="AG152" s="278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</row>
    <row r="153" spans="1:79" ht="9" customHeight="1" hidden="1">
      <c r="A153" s="8"/>
      <c r="B153" s="9"/>
      <c r="C153" s="48"/>
      <c r="D153" s="279"/>
      <c r="E153" s="9"/>
      <c r="F153" s="9"/>
      <c r="G153" s="9"/>
      <c r="H153" s="9"/>
      <c r="I153" s="9"/>
      <c r="J153" s="9"/>
      <c r="K153" s="9"/>
      <c r="L153" s="9"/>
      <c r="M153" s="9"/>
      <c r="N153" s="280"/>
      <c r="O153" s="281"/>
      <c r="P153" s="281"/>
      <c r="Q153" s="281"/>
      <c r="R153" s="282"/>
      <c r="S153" s="283"/>
      <c r="T153" s="9"/>
      <c r="U153" s="281"/>
      <c r="V153" s="281"/>
      <c r="W153" s="281"/>
      <c r="X153" s="282"/>
      <c r="Y153" s="283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Y153" s="1"/>
      <c r="BZ153" s="1"/>
      <c r="CA153" s="1"/>
    </row>
    <row r="154" spans="1:56" s="285" customFormat="1" ht="15.75">
      <c r="A154" s="284"/>
      <c r="C154" s="286"/>
      <c r="D154" s="287"/>
      <c r="E154" s="287"/>
      <c r="F154" s="287"/>
      <c r="G154" s="284"/>
      <c r="H154" s="284"/>
      <c r="I154" s="284"/>
      <c r="J154" s="284"/>
      <c r="K154" s="284"/>
      <c r="L154" s="284"/>
      <c r="M154" s="284"/>
      <c r="N154" s="288"/>
      <c r="O154" s="289"/>
      <c r="P154" s="290"/>
      <c r="Q154" s="290"/>
      <c r="R154" s="290"/>
      <c r="S154" s="290"/>
      <c r="T154" s="291"/>
      <c r="U154" s="289"/>
      <c r="V154" s="290"/>
      <c r="W154" s="290"/>
      <c r="X154" s="290"/>
      <c r="Y154" s="290"/>
      <c r="Z154" s="291"/>
      <c r="AA154" s="291"/>
      <c r="AB154" s="291"/>
      <c r="AC154" s="291"/>
      <c r="AD154" s="291"/>
      <c r="AE154" s="291"/>
      <c r="AF154" s="291"/>
      <c r="AG154" s="291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</row>
    <row r="155" spans="1:56" ht="13.5">
      <c r="A155" s="8"/>
      <c r="B155" s="1"/>
      <c r="C155" s="132"/>
      <c r="D155" s="10"/>
      <c r="E155" s="96"/>
      <c r="F155" s="10"/>
      <c r="G155" s="9"/>
      <c r="H155" s="9"/>
      <c r="I155" s="9"/>
      <c r="J155" s="9"/>
      <c r="K155" s="9"/>
      <c r="L155" s="9"/>
      <c r="M155" s="9"/>
      <c r="N155" s="292"/>
      <c r="O155" s="293"/>
      <c r="P155" s="294"/>
      <c r="Q155" s="294"/>
      <c r="R155" s="294"/>
      <c r="S155" s="294"/>
      <c r="T155" s="295"/>
      <c r="U155" s="293"/>
      <c r="V155" s="294"/>
      <c r="W155" s="294"/>
      <c r="X155" s="294"/>
      <c r="Y155" s="294"/>
      <c r="Z155" s="295"/>
      <c r="AA155" s="295"/>
      <c r="AB155" s="295"/>
      <c r="AC155" s="295"/>
      <c r="AD155" s="295"/>
      <c r="AE155" s="295"/>
      <c r="AF155" s="295"/>
      <c r="AG155" s="295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</row>
    <row r="156" spans="1:56" ht="13.5">
      <c r="A156" s="8"/>
      <c r="B156" s="9"/>
      <c r="C156" s="48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288"/>
      <c r="O156" s="9"/>
      <c r="P156" s="295"/>
      <c r="Q156" s="295"/>
      <c r="R156" s="295"/>
      <c r="S156" s="295"/>
      <c r="T156" s="295"/>
      <c r="U156" s="9"/>
      <c r="V156" s="295"/>
      <c r="W156" s="295"/>
      <c r="X156" s="295"/>
      <c r="Y156" s="295"/>
      <c r="Z156" s="295"/>
      <c r="AA156" s="295"/>
      <c r="AB156" s="295"/>
      <c r="AC156" s="295"/>
      <c r="AD156" s="295"/>
      <c r="AE156" s="295"/>
      <c r="AF156" s="295"/>
      <c r="AG156" s="295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</row>
  </sheetData>
  <sheetProtection selectLockedCells="1" selectUnlockedCells="1"/>
  <mergeCells count="562">
    <mergeCell ref="AB144:AB145"/>
    <mergeCell ref="AC144:AC145"/>
    <mergeCell ref="AD144:AD145"/>
    <mergeCell ref="AE144:AE145"/>
    <mergeCell ref="AF144:AF145"/>
    <mergeCell ref="AG144:AG145"/>
    <mergeCell ref="V144:V145"/>
    <mergeCell ref="W144:W145"/>
    <mergeCell ref="X144:X145"/>
    <mergeCell ref="Y144:Y145"/>
    <mergeCell ref="Z144:Z145"/>
    <mergeCell ref="AA144:AA145"/>
    <mergeCell ref="P144:P145"/>
    <mergeCell ref="Q144:Q145"/>
    <mergeCell ref="R144:R145"/>
    <mergeCell ref="S144:S145"/>
    <mergeCell ref="T144:T145"/>
    <mergeCell ref="U144:U145"/>
    <mergeCell ref="AC140:AC142"/>
    <mergeCell ref="AD140:AD142"/>
    <mergeCell ref="AE140:AE142"/>
    <mergeCell ref="AF140:AF142"/>
    <mergeCell ref="AG140:AG142"/>
    <mergeCell ref="B144:B145"/>
    <mergeCell ref="C144:C145"/>
    <mergeCell ref="D144:D145"/>
    <mergeCell ref="N144:N145"/>
    <mergeCell ref="O144:O145"/>
    <mergeCell ref="W140:W142"/>
    <mergeCell ref="X140:X142"/>
    <mergeCell ref="Y140:Y142"/>
    <mergeCell ref="Z140:Z142"/>
    <mergeCell ref="AA140:AA142"/>
    <mergeCell ref="AB140:AB142"/>
    <mergeCell ref="Q140:Q142"/>
    <mergeCell ref="R140:R142"/>
    <mergeCell ref="S140:S142"/>
    <mergeCell ref="T140:T142"/>
    <mergeCell ref="U140:U142"/>
    <mergeCell ref="V140:V142"/>
    <mergeCell ref="B140:B142"/>
    <mergeCell ref="C140:C142"/>
    <mergeCell ref="D140:D142"/>
    <mergeCell ref="N140:N142"/>
    <mergeCell ref="O140:O142"/>
    <mergeCell ref="P140:P142"/>
    <mergeCell ref="AB111:AB112"/>
    <mergeCell ref="AC111:AC112"/>
    <mergeCell ref="AD111:AD112"/>
    <mergeCell ref="AE111:AE112"/>
    <mergeCell ref="AF111:AF112"/>
    <mergeCell ref="AG111:AG112"/>
    <mergeCell ref="V111:V112"/>
    <mergeCell ref="W111:W112"/>
    <mergeCell ref="X111:X112"/>
    <mergeCell ref="Y111:Y112"/>
    <mergeCell ref="Z111:Z112"/>
    <mergeCell ref="AA111:AA112"/>
    <mergeCell ref="P111:P112"/>
    <mergeCell ref="Q111:Q112"/>
    <mergeCell ref="R111:R112"/>
    <mergeCell ref="S111:S112"/>
    <mergeCell ref="T111:T112"/>
    <mergeCell ref="U111:U112"/>
    <mergeCell ref="AC109:AC110"/>
    <mergeCell ref="AD109:AD110"/>
    <mergeCell ref="AE109:AE110"/>
    <mergeCell ref="AF109:AF110"/>
    <mergeCell ref="AG109:AG110"/>
    <mergeCell ref="B111:B112"/>
    <mergeCell ref="C111:C112"/>
    <mergeCell ref="D111:D112"/>
    <mergeCell ref="N111:N112"/>
    <mergeCell ref="O111:O112"/>
    <mergeCell ref="W109:W110"/>
    <mergeCell ref="X109:X110"/>
    <mergeCell ref="Y109:Y110"/>
    <mergeCell ref="Z109:Z110"/>
    <mergeCell ref="AA109:AA110"/>
    <mergeCell ref="AB109:AB110"/>
    <mergeCell ref="Q109:Q110"/>
    <mergeCell ref="R109:R110"/>
    <mergeCell ref="S109:S110"/>
    <mergeCell ref="T109:T110"/>
    <mergeCell ref="U109:U110"/>
    <mergeCell ref="V109:V110"/>
    <mergeCell ref="AD102:AD103"/>
    <mergeCell ref="AE102:AE103"/>
    <mergeCell ref="AF102:AF103"/>
    <mergeCell ref="AG102:AG103"/>
    <mergeCell ref="B109:B110"/>
    <mergeCell ref="C109:C110"/>
    <mergeCell ref="D109:D110"/>
    <mergeCell ref="N109:N110"/>
    <mergeCell ref="O109:O110"/>
    <mergeCell ref="P109:P110"/>
    <mergeCell ref="X102:X103"/>
    <mergeCell ref="Y102:Y103"/>
    <mergeCell ref="Z102:Z103"/>
    <mergeCell ref="AA102:AA103"/>
    <mergeCell ref="AB102:AB103"/>
    <mergeCell ref="AC102:AC103"/>
    <mergeCell ref="R102:R103"/>
    <mergeCell ref="S102:S103"/>
    <mergeCell ref="T102:T103"/>
    <mergeCell ref="U102:U103"/>
    <mergeCell ref="V102:V103"/>
    <mergeCell ref="W102:W103"/>
    <mergeCell ref="L102:L103"/>
    <mergeCell ref="M102:M103"/>
    <mergeCell ref="N102:N103"/>
    <mergeCell ref="O102:O103"/>
    <mergeCell ref="P102:P103"/>
    <mergeCell ref="Q102:Q103"/>
    <mergeCell ref="AE93:AE94"/>
    <mergeCell ref="AF93:AF94"/>
    <mergeCell ref="AG93:AG94"/>
    <mergeCell ref="B102:B103"/>
    <mergeCell ref="C102:C103"/>
    <mergeCell ref="D102:D103"/>
    <mergeCell ref="H102:H103"/>
    <mergeCell ref="I102:I103"/>
    <mergeCell ref="J102:J103"/>
    <mergeCell ref="K102:K103"/>
    <mergeCell ref="Y93:Y94"/>
    <mergeCell ref="Z93:Z94"/>
    <mergeCell ref="AA93:AA94"/>
    <mergeCell ref="AB93:AB94"/>
    <mergeCell ref="AC93:AC94"/>
    <mergeCell ref="AD93:AD94"/>
    <mergeCell ref="S93:S94"/>
    <mergeCell ref="T93:T94"/>
    <mergeCell ref="U93:U94"/>
    <mergeCell ref="V93:V94"/>
    <mergeCell ref="W93:W94"/>
    <mergeCell ref="X93:X94"/>
    <mergeCell ref="J93:J94"/>
    <mergeCell ref="N93:N94"/>
    <mergeCell ref="O93:O94"/>
    <mergeCell ref="P93:P94"/>
    <mergeCell ref="Q93:Q94"/>
    <mergeCell ref="R93:R94"/>
    <mergeCell ref="N83:N84"/>
    <mergeCell ref="AG83:AG84"/>
    <mergeCell ref="B93:B94"/>
    <mergeCell ref="C93:C94"/>
    <mergeCell ref="D93:D94"/>
    <mergeCell ref="E93:E94"/>
    <mergeCell ref="F93:F94"/>
    <mergeCell ref="G93:G94"/>
    <mergeCell ref="H93:H94"/>
    <mergeCell ref="I93:I94"/>
    <mergeCell ref="AD80:AD81"/>
    <mergeCell ref="AE80:AE81"/>
    <mergeCell ref="AF80:AF81"/>
    <mergeCell ref="AG80:AG81"/>
    <mergeCell ref="B83:B84"/>
    <mergeCell ref="C83:C84"/>
    <mergeCell ref="D83:D84"/>
    <mergeCell ref="E83:E84"/>
    <mergeCell ref="F83:F84"/>
    <mergeCell ref="G83:G84"/>
    <mergeCell ref="X80:X81"/>
    <mergeCell ref="Y80:Y81"/>
    <mergeCell ref="Z80:Z81"/>
    <mergeCell ref="AA80:AA81"/>
    <mergeCell ref="AB80:AB81"/>
    <mergeCell ref="AC80:AC81"/>
    <mergeCell ref="R80:R81"/>
    <mergeCell ref="S80:S81"/>
    <mergeCell ref="T80:T81"/>
    <mergeCell ref="U80:U81"/>
    <mergeCell ref="V80:V81"/>
    <mergeCell ref="W80:W81"/>
    <mergeCell ref="L80:L81"/>
    <mergeCell ref="M80:M81"/>
    <mergeCell ref="N80:N81"/>
    <mergeCell ref="O80:O81"/>
    <mergeCell ref="P80:P81"/>
    <mergeCell ref="Q80:Q81"/>
    <mergeCell ref="AE76:AE77"/>
    <mergeCell ref="AF76:AF77"/>
    <mergeCell ref="AG76:AG77"/>
    <mergeCell ref="B80:B81"/>
    <mergeCell ref="C80:C81"/>
    <mergeCell ref="D80:D81"/>
    <mergeCell ref="H80:H81"/>
    <mergeCell ref="I80:I81"/>
    <mergeCell ref="J80:J81"/>
    <mergeCell ref="K80:K81"/>
    <mergeCell ref="Y76:Y77"/>
    <mergeCell ref="Z76:Z77"/>
    <mergeCell ref="AA76:AA77"/>
    <mergeCell ref="AB76:AB77"/>
    <mergeCell ref="AC76:AC77"/>
    <mergeCell ref="AD76:AD77"/>
    <mergeCell ref="S76:S77"/>
    <mergeCell ref="T76:T77"/>
    <mergeCell ref="U76:U77"/>
    <mergeCell ref="V76:V77"/>
    <mergeCell ref="W76:W77"/>
    <mergeCell ref="X76:X77"/>
    <mergeCell ref="J76:J77"/>
    <mergeCell ref="N76:N77"/>
    <mergeCell ref="O76:O77"/>
    <mergeCell ref="P76:P77"/>
    <mergeCell ref="Q76:Q77"/>
    <mergeCell ref="R76:R77"/>
    <mergeCell ref="AC70:AC71"/>
    <mergeCell ref="AD70:AD71"/>
    <mergeCell ref="AE70:AE71"/>
    <mergeCell ref="AF70:AF71"/>
    <mergeCell ref="AG70:AG71"/>
    <mergeCell ref="B76:B77"/>
    <mergeCell ref="C76:C77"/>
    <mergeCell ref="D76:D77"/>
    <mergeCell ref="H76:H77"/>
    <mergeCell ref="I76:I77"/>
    <mergeCell ref="W70:W71"/>
    <mergeCell ref="X70:X71"/>
    <mergeCell ref="Y70:Y71"/>
    <mergeCell ref="Z70:Z71"/>
    <mergeCell ref="AA70:AA71"/>
    <mergeCell ref="AB70:AB71"/>
    <mergeCell ref="Q70:Q71"/>
    <mergeCell ref="R70:R71"/>
    <mergeCell ref="S70:S71"/>
    <mergeCell ref="T70:T71"/>
    <mergeCell ref="U70:U71"/>
    <mergeCell ref="V70:V71"/>
    <mergeCell ref="K70:K71"/>
    <mergeCell ref="L70:L71"/>
    <mergeCell ref="M70:M71"/>
    <mergeCell ref="N70:N71"/>
    <mergeCell ref="O70:O71"/>
    <mergeCell ref="P70:P71"/>
    <mergeCell ref="B70:B71"/>
    <mergeCell ref="C70:C71"/>
    <mergeCell ref="D70:D71"/>
    <mergeCell ref="H70:H71"/>
    <mergeCell ref="I70:I71"/>
    <mergeCell ref="J70:J71"/>
    <mergeCell ref="AB67:AB68"/>
    <mergeCell ref="AC67:AC68"/>
    <mergeCell ref="AD67:AD68"/>
    <mergeCell ref="AE67:AE68"/>
    <mergeCell ref="AF67:AF68"/>
    <mergeCell ref="AG67:AG68"/>
    <mergeCell ref="V67:V68"/>
    <mergeCell ref="W67:W68"/>
    <mergeCell ref="X67:X68"/>
    <mergeCell ref="Y67:Y68"/>
    <mergeCell ref="Z67:Z68"/>
    <mergeCell ref="AA67:AA68"/>
    <mergeCell ref="P67:P68"/>
    <mergeCell ref="Q67:Q68"/>
    <mergeCell ref="R67:R68"/>
    <mergeCell ref="S67:S68"/>
    <mergeCell ref="T67:T68"/>
    <mergeCell ref="U67:U68"/>
    <mergeCell ref="G67:G68"/>
    <mergeCell ref="H67:H68"/>
    <mergeCell ref="I67:I68"/>
    <mergeCell ref="J67:J68"/>
    <mergeCell ref="N67:N68"/>
    <mergeCell ref="O67:O68"/>
    <mergeCell ref="AF63:AF65"/>
    <mergeCell ref="AG63:AG65"/>
    <mergeCell ref="E64:E65"/>
    <mergeCell ref="F64:F65"/>
    <mergeCell ref="G64:G65"/>
    <mergeCell ref="B67:B68"/>
    <mergeCell ref="C67:C68"/>
    <mergeCell ref="D67:D68"/>
    <mergeCell ref="E67:E68"/>
    <mergeCell ref="F67:F68"/>
    <mergeCell ref="Z63:Z65"/>
    <mergeCell ref="AA63:AA65"/>
    <mergeCell ref="AB63:AB65"/>
    <mergeCell ref="AC63:AC65"/>
    <mergeCell ref="AD63:AD65"/>
    <mergeCell ref="AE63:AE65"/>
    <mergeCell ref="T63:T65"/>
    <mergeCell ref="U63:U65"/>
    <mergeCell ref="V63:V65"/>
    <mergeCell ref="W63:W65"/>
    <mergeCell ref="X63:X65"/>
    <mergeCell ref="Y63:Y65"/>
    <mergeCell ref="N63:N65"/>
    <mergeCell ref="O63:O65"/>
    <mergeCell ref="P63:P65"/>
    <mergeCell ref="Q63:Q65"/>
    <mergeCell ref="R63:R65"/>
    <mergeCell ref="S63:S65"/>
    <mergeCell ref="B63:B65"/>
    <mergeCell ref="C63:C65"/>
    <mergeCell ref="D63:D65"/>
    <mergeCell ref="H63:H65"/>
    <mergeCell ref="I63:I65"/>
    <mergeCell ref="J63:J65"/>
    <mergeCell ref="AF59:AF62"/>
    <mergeCell ref="AG59:AG62"/>
    <mergeCell ref="E61:E62"/>
    <mergeCell ref="F61:F62"/>
    <mergeCell ref="G61:G62"/>
    <mergeCell ref="K61:K62"/>
    <mergeCell ref="L61:L62"/>
    <mergeCell ref="M61:M62"/>
    <mergeCell ref="Z59:Z62"/>
    <mergeCell ref="AA59:AA62"/>
    <mergeCell ref="AB59:AB62"/>
    <mergeCell ref="AC59:AC62"/>
    <mergeCell ref="AD59:AD62"/>
    <mergeCell ref="AE59:AE62"/>
    <mergeCell ref="T59:T62"/>
    <mergeCell ref="U59:U62"/>
    <mergeCell ref="V59:V62"/>
    <mergeCell ref="W59:W62"/>
    <mergeCell ref="X59:X62"/>
    <mergeCell ref="Y59:Y62"/>
    <mergeCell ref="N59:N62"/>
    <mergeCell ref="O59:O62"/>
    <mergeCell ref="P59:P62"/>
    <mergeCell ref="Q59:Q62"/>
    <mergeCell ref="R59:R62"/>
    <mergeCell ref="S59:S62"/>
    <mergeCell ref="H59:H62"/>
    <mergeCell ref="I59:I62"/>
    <mergeCell ref="J59:J62"/>
    <mergeCell ref="K59:K60"/>
    <mergeCell ref="L59:L60"/>
    <mergeCell ref="M59:M60"/>
    <mergeCell ref="AD53:AD54"/>
    <mergeCell ref="AE53:AE54"/>
    <mergeCell ref="AF53:AF54"/>
    <mergeCell ref="AG53:AG54"/>
    <mergeCell ref="B59:B62"/>
    <mergeCell ref="C59:C62"/>
    <mergeCell ref="D59:D62"/>
    <mergeCell ref="E59:E60"/>
    <mergeCell ref="F59:F60"/>
    <mergeCell ref="G59:G60"/>
    <mergeCell ref="X53:X54"/>
    <mergeCell ref="Y53:Y54"/>
    <mergeCell ref="Z53:Z54"/>
    <mergeCell ref="AA53:AA54"/>
    <mergeCell ref="AB53:AB54"/>
    <mergeCell ref="AC53:AC54"/>
    <mergeCell ref="R53:R54"/>
    <mergeCell ref="S53:S54"/>
    <mergeCell ref="T53:T54"/>
    <mergeCell ref="U53:U54"/>
    <mergeCell ref="V53:V54"/>
    <mergeCell ref="W53:W54"/>
    <mergeCell ref="I53:I54"/>
    <mergeCell ref="J53:J54"/>
    <mergeCell ref="N53:N54"/>
    <mergeCell ref="O53:O54"/>
    <mergeCell ref="P53:P54"/>
    <mergeCell ref="Q53:Q54"/>
    <mergeCell ref="AE44:AE45"/>
    <mergeCell ref="AF44:AF45"/>
    <mergeCell ref="AG44:AG45"/>
    <mergeCell ref="B53:B54"/>
    <mergeCell ref="C53:C54"/>
    <mergeCell ref="D53:D54"/>
    <mergeCell ref="E53:E54"/>
    <mergeCell ref="F53:F54"/>
    <mergeCell ref="G53:G54"/>
    <mergeCell ref="H53:H54"/>
    <mergeCell ref="Y44:Y45"/>
    <mergeCell ref="Z44:Z45"/>
    <mergeCell ref="AA44:AA45"/>
    <mergeCell ref="AB44:AB45"/>
    <mergeCell ref="AC44:AC45"/>
    <mergeCell ref="AD44:AD45"/>
    <mergeCell ref="S44:S45"/>
    <mergeCell ref="T44:T45"/>
    <mergeCell ref="U44:U45"/>
    <mergeCell ref="V44:V45"/>
    <mergeCell ref="W44:W45"/>
    <mergeCell ref="X44:X45"/>
    <mergeCell ref="J44:J45"/>
    <mergeCell ref="N44:N45"/>
    <mergeCell ref="O44:O45"/>
    <mergeCell ref="P44:P45"/>
    <mergeCell ref="Q44:Q45"/>
    <mergeCell ref="R44:R45"/>
    <mergeCell ref="AF35:AF36"/>
    <mergeCell ref="AG35:AG36"/>
    <mergeCell ref="B44:B45"/>
    <mergeCell ref="C44:C45"/>
    <mergeCell ref="D44:D45"/>
    <mergeCell ref="E44:E45"/>
    <mergeCell ref="F44:F45"/>
    <mergeCell ref="G44:G45"/>
    <mergeCell ref="H44:H45"/>
    <mergeCell ref="I44:I45"/>
    <mergeCell ref="Z35:Z36"/>
    <mergeCell ref="AA35:AA36"/>
    <mergeCell ref="AB35:AB36"/>
    <mergeCell ref="AC35:AC36"/>
    <mergeCell ref="AD35:AD36"/>
    <mergeCell ref="AE35:AE36"/>
    <mergeCell ref="T35:T36"/>
    <mergeCell ref="U35:U36"/>
    <mergeCell ref="V35:V36"/>
    <mergeCell ref="W35:W36"/>
    <mergeCell ref="X35:X36"/>
    <mergeCell ref="Y35:Y36"/>
    <mergeCell ref="N35:N36"/>
    <mergeCell ref="O35:O36"/>
    <mergeCell ref="P35:P36"/>
    <mergeCell ref="Q35:Q36"/>
    <mergeCell ref="R35:R36"/>
    <mergeCell ref="S35:S36"/>
    <mergeCell ref="B35:B36"/>
    <mergeCell ref="C35:C36"/>
    <mergeCell ref="D35:D36"/>
    <mergeCell ref="E35:E36"/>
    <mergeCell ref="F35:F36"/>
    <mergeCell ref="G35:G36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AC26:AC27"/>
    <mergeCell ref="AD26:AD27"/>
    <mergeCell ref="AE26:AE27"/>
    <mergeCell ref="AF26:AF27"/>
    <mergeCell ref="AG26:AG27"/>
    <mergeCell ref="B28:B29"/>
    <mergeCell ref="C28:C29"/>
    <mergeCell ref="D28:D29"/>
    <mergeCell ref="H28:H29"/>
    <mergeCell ref="I28:I29"/>
    <mergeCell ref="W26:W27"/>
    <mergeCell ref="X26:X27"/>
    <mergeCell ref="Y26:Y27"/>
    <mergeCell ref="Z26:Z27"/>
    <mergeCell ref="AA26:AA27"/>
    <mergeCell ref="AB26:AB27"/>
    <mergeCell ref="Q26:Q27"/>
    <mergeCell ref="R26:R27"/>
    <mergeCell ref="S26:S27"/>
    <mergeCell ref="T26:T27"/>
    <mergeCell ref="U26:U27"/>
    <mergeCell ref="V26:V27"/>
    <mergeCell ref="K26:K27"/>
    <mergeCell ref="L26:L27"/>
    <mergeCell ref="M26:M27"/>
    <mergeCell ref="N26:N27"/>
    <mergeCell ref="O26:O27"/>
    <mergeCell ref="P26:P27"/>
    <mergeCell ref="B26:B27"/>
    <mergeCell ref="C26:C27"/>
    <mergeCell ref="D26:D27"/>
    <mergeCell ref="H26:H27"/>
    <mergeCell ref="I26:I27"/>
    <mergeCell ref="J26:J27"/>
    <mergeCell ref="AB23:AB24"/>
    <mergeCell ref="AC23:AC24"/>
    <mergeCell ref="AD23:AD24"/>
    <mergeCell ref="AE23:AE24"/>
    <mergeCell ref="AF23:AF24"/>
    <mergeCell ref="AG23:AG24"/>
    <mergeCell ref="V23:V24"/>
    <mergeCell ref="W23:W24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N23:N24"/>
    <mergeCell ref="O23:O24"/>
    <mergeCell ref="AC15:AC16"/>
    <mergeCell ref="AD15:AD16"/>
    <mergeCell ref="AE15:AE16"/>
    <mergeCell ref="AF15:AF16"/>
    <mergeCell ref="AG15:AG16"/>
    <mergeCell ref="B23:B24"/>
    <mergeCell ref="C23:C24"/>
    <mergeCell ref="D23:D24"/>
    <mergeCell ref="H23:H24"/>
    <mergeCell ref="I23:I24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H15:H16"/>
    <mergeCell ref="I15:I16"/>
    <mergeCell ref="J15:J16"/>
    <mergeCell ref="N15:N16"/>
    <mergeCell ref="O15:O16"/>
    <mergeCell ref="P15:P16"/>
    <mergeCell ref="X6:X7"/>
    <mergeCell ref="Y6:Z6"/>
    <mergeCell ref="AA6:AC6"/>
    <mergeCell ref="AD6:AF6"/>
    <mergeCell ref="B15:B16"/>
    <mergeCell ref="C15:C16"/>
    <mergeCell ref="D15:D16"/>
    <mergeCell ref="E15:E16"/>
    <mergeCell ref="F15:F16"/>
    <mergeCell ref="G15:G16"/>
    <mergeCell ref="AG5:AG7"/>
    <mergeCell ref="E6:G6"/>
    <mergeCell ref="H6:J6"/>
    <mergeCell ref="K6:M6"/>
    <mergeCell ref="O6:P6"/>
    <mergeCell ref="Q6:Q7"/>
    <mergeCell ref="R6:R7"/>
    <mergeCell ref="S6:T6"/>
    <mergeCell ref="U6:V6"/>
    <mergeCell ref="W6:W7"/>
    <mergeCell ref="B2:AG2"/>
    <mergeCell ref="C3:F3"/>
    <mergeCell ref="B5:B7"/>
    <mergeCell ref="C5:C7"/>
    <mergeCell ref="D5:D7"/>
    <mergeCell ref="E5:M5"/>
    <mergeCell ref="N5:N6"/>
    <mergeCell ref="O5:T5"/>
    <mergeCell ref="U5:Z5"/>
    <mergeCell ref="AA5:AF5"/>
  </mergeCells>
  <printOptions/>
  <pageMargins left="0.3" right="0.1701388888888889" top="0.31527777777777777" bottom="0.19652777777777777" header="0.5118110236220472" footer="0"/>
  <pageSetup firstPageNumber="1" useFirstPageNumber="1" horizontalDpi="300" verticalDpi="300" orientation="landscape" pageOrder="overThenDown" paperSize="9" scale="66" r:id="rId1"/>
  <headerFooter alignWithMargins="0">
    <oddFooter>&amp;R&amp;P</oddFooter>
  </headerFooter>
  <rowBreaks count="2" manualBreakCount="2">
    <brk id="108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2024-06-10T13:19:28Z</dcterms:modified>
  <cp:category/>
  <cp:version/>
  <cp:contentType/>
  <cp:contentStatus/>
</cp:coreProperties>
</file>